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0920" windowHeight="4980" tabRatio="773" firstSheet="6" activeTab="10"/>
  </bookViews>
  <sheets>
    <sheet name="zał2-sfin" sheetId="1" r:id="rId1"/>
    <sheet name="zał.3-zlecone" sheetId="2" r:id="rId2"/>
    <sheet name="zał4-prog wielol" sheetId="3" r:id="rId3"/>
    <sheet name="zał5-zadania inwestycyjne" sheetId="4" r:id="rId4"/>
    <sheet name="zał6-projekty unia" sheetId="5" r:id="rId5"/>
    <sheet name="zał7-poroz" sheetId="6" r:id="rId6"/>
    <sheet name="zał8-gosp" sheetId="7" r:id="rId7"/>
    <sheet name="zał9-zadania" sheetId="8" r:id="rId8"/>
    <sheet name="zał10-F.Ochr Środ" sheetId="9" r:id="rId9"/>
    <sheet name="zał11-progn" sheetId="10" r:id="rId10"/>
    <sheet name="zał12-syt finans" sheetId="11" r:id="rId11"/>
  </sheets>
  <definedNames>
    <definedName name="_xlnm.Print_Titles" localSheetId="1">'zał.3-zlecone'!$9:$10</definedName>
    <definedName name="_xlnm.Print_Titles" localSheetId="9">'zał11-progn'!$A:$B</definedName>
    <definedName name="_xlnm.Print_Titles" localSheetId="10">'zał12-syt finans'!$A:$B</definedName>
    <definedName name="_xlnm.Print_Titles" localSheetId="2">'zał4-prog wielol'!$10:$13</definedName>
    <definedName name="_xlnm.Print_Titles" localSheetId="3">'zał5-zadania inwestycyjne'!$9:$12</definedName>
    <definedName name="_xlnm.Print_Titles" localSheetId="4">'zał6-projekty unia'!$7:$13</definedName>
    <definedName name="_xlnm.Print_Titles" localSheetId="5">'zał7-poroz'!$8:$11</definedName>
  </definedNames>
  <calcPr fullCalcOnLoad="1"/>
</workbook>
</file>

<file path=xl/sharedStrings.xml><?xml version="1.0" encoding="utf-8"?>
<sst xmlns="http://schemas.openxmlformats.org/spreadsheetml/2006/main" count="1166" uniqueCount="523">
  <si>
    <t xml:space="preserve"> na podstawie porozumień (umów) między jednostkami samorządu terytorialnego w 2007 r.</t>
  </si>
  <si>
    <t>dotacje</t>
  </si>
  <si>
    <t>Wydatki ogółem (7+11)</t>
  </si>
  <si>
    <t xml:space="preserve">Całoroczne utrzymanie dróg powiatowych w miastach, w tym: </t>
  </si>
  <si>
    <t>Gmina Miejska Lubawa - 47.230,-</t>
  </si>
  <si>
    <t>Gmina Susz -                   29.300,-</t>
  </si>
  <si>
    <t>Gmina Kisielice -              14.000,-</t>
  </si>
  <si>
    <t>Gmina Miejska Zalewo -  37.500,-</t>
  </si>
  <si>
    <t>Partycypacja w kosztach utrzymania placówki opiekuńczo-wychowawczej "Słoneczko" w Zalewie</t>
  </si>
  <si>
    <t>Dotacja na pokrycie kosztów utrzymania dziecka w rodzinie zastępczej</t>
  </si>
  <si>
    <t>Gmina Miejska Iława -      52.800,-                                (w tym: utrzymanie chodników lato-zima : 22.000,- zł)</t>
  </si>
  <si>
    <t>Powiat Kwidzyński -      13.835,-zł</t>
  </si>
  <si>
    <t>Powiat Grodzki Elbląg -  26.752,-zł</t>
  </si>
  <si>
    <t>Dofinansowanie modernizacji ul. Rzepnikowskiego w Lubawie</t>
  </si>
  <si>
    <t xml:space="preserve">Nauka religii bizantyjsko-ukraińskiej  - Gmina Miejska Iława </t>
  </si>
  <si>
    <t>Pokrywanie kosztów utrzymania dzieci i młodzieży z terenu naszego powiatu umieszczonych w placówkach opiekuńczo-wychowawczych na terenie innego powiatu</t>
  </si>
  <si>
    <t>Dotacja dla budżetu Powiatu Działdowskiego na pokrycie kosztów utrzymania dzieci w rodzinie zastępczej</t>
  </si>
  <si>
    <t>Stan środków obrotowych** na początek roku</t>
  </si>
  <si>
    <t>**) stan środków pieniężnych</t>
  </si>
  <si>
    <t>*) w rachunku dochodów własnych - dochody</t>
  </si>
  <si>
    <t>***) źródła dochodów wskazanych przez Zarząd</t>
  </si>
  <si>
    <t>Wydatki bieżące</t>
  </si>
  <si>
    <t>Nazwa</t>
  </si>
  <si>
    <t>85141</t>
  </si>
  <si>
    <t>Limity wydatków na wieloletnie programy inwestycyjne w latach 2007-2009</t>
  </si>
  <si>
    <t>Rok 2009</t>
  </si>
  <si>
    <t>Nazwa zadania inwestycyjnego okres realizacji (w latach)</t>
  </si>
  <si>
    <t>Łączne koszty finansowe</t>
  </si>
  <si>
    <t>11.</t>
  </si>
  <si>
    <t>12.</t>
  </si>
  <si>
    <t>Rok budżetowy 2007 (6+7+8+9)</t>
  </si>
  <si>
    <t>Dochody własne jst</t>
  </si>
  <si>
    <t>środki pochodzące z innych źr*</t>
  </si>
  <si>
    <t>środki wymienione w art.. 5 ust. 1 pkt 2 i 3 u.f.p.</t>
  </si>
  <si>
    <t>PLANOWANE WYDATKI</t>
  </si>
  <si>
    <t>W TYM: ŹRÓDŁA FINANSOWANIA</t>
  </si>
  <si>
    <t>Zadania inwestycyjne w 2007 r.</t>
  </si>
  <si>
    <t>Unijne stypendia szansą na przyszłość ponadgimnazjalistów Powiatu Iławskiego</t>
  </si>
  <si>
    <t>Pomoc stypendialna Powiatu Iławskiego studentom z obszarów zmarginalizowanych w latach 2006-2007</t>
  </si>
  <si>
    <t xml:space="preserve">Sektorowy Program </t>
  </si>
  <si>
    <t>Priorytet 1. Aktywna polityka rynku pracy oraz integracji zawodowej i społecznej</t>
  </si>
  <si>
    <t>Działanie 1.5 Promocja aktywnej polityki społęcznej poprzez wsparcie grup szczególnego ryzyka</t>
  </si>
  <si>
    <t>Pryzmat - wspólne działanie na rzecz długotrwale bezrobotnych</t>
  </si>
  <si>
    <t>Dział 853 Rozdział 85333</t>
  </si>
  <si>
    <t>z tego: 2007r.</t>
  </si>
  <si>
    <t>2009 r.</t>
  </si>
  <si>
    <t>2010 r.</t>
  </si>
  <si>
    <t xml:space="preserve">Wydatki* na programy i projekty realizowane ze środków pochodzacych z funduszy strukturalnych i Funduszu Spójności </t>
  </si>
  <si>
    <t>w tym wydatki na wieloletnie programy inwestycyjne</t>
  </si>
  <si>
    <t>Plan na rok 2007</t>
  </si>
  <si>
    <t>Źródła sfinansowania deficytu lub rozdysponowanie                                                           nadwyżki budżetowej w 2007 r.</t>
  </si>
  <si>
    <t xml:space="preserve">Wydatki bieżące </t>
  </si>
  <si>
    <t>spłata pożyczek, kredytów zaciągniętych w związku ze środkami określonymi w umowie zawartej z podmiotem dysponującym z funduszami strukturalnymi lub F.S.U.E</t>
  </si>
  <si>
    <t>odsetki</t>
  </si>
  <si>
    <t>Spłata zaciągnietych pożyczek, kredytów, w tym:</t>
  </si>
  <si>
    <t>B.</t>
  </si>
  <si>
    <t>Spłata przewidywanych pożyczek, kredytów, w tym:</t>
  </si>
  <si>
    <t>Wartość udzielonych poręczeń</t>
  </si>
  <si>
    <t>Wykup papierów wartosciowych</t>
  </si>
  <si>
    <t>C.</t>
  </si>
  <si>
    <t>D.</t>
  </si>
  <si>
    <t>PLANOWANA ŁĄCZNA KWOTA DŁUGU NA 31/12 DANEGO ROKU, w tym:</t>
  </si>
  <si>
    <t>Dług zaciągnietejw związku ze środkami określonymi w umowie zawartej z podmiotem dysponującym funduszami strukturalnymi lub F.S.U.E</t>
  </si>
  <si>
    <t>E.</t>
  </si>
  <si>
    <t>§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</si>
  <si>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</si>
  <si>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</si>
  <si>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</si>
  <si>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</si>
  <si>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</si>
  <si>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</si>
  <si>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</si>
  <si>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</si>
  <si>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</si>
  <si>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Inne źródła ( wolne środki)</t>
  </si>
  <si>
    <t>§ 937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</si>
  <si>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</si>
  <si>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</si>
  <si>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</si>
  <si>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</si>
  <si>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</si>
  <si>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>Przychody *)</t>
  </si>
  <si>
    <t>Rok 2008</t>
  </si>
  <si>
    <t>OGÓŁEM</t>
  </si>
  <si>
    <t xml:space="preserve">w złotych </t>
  </si>
  <si>
    <t>PROGNOZA</t>
  </si>
  <si>
    <t>Prognoza</t>
  </si>
  <si>
    <t>Dochody własne , w tym  :</t>
  </si>
  <si>
    <t>udziały w podatkach stanowiących dochód budżetu powiatu</t>
  </si>
  <si>
    <t>dochody z majątku powiatu</t>
  </si>
  <si>
    <t>pozostałe dochody</t>
  </si>
  <si>
    <t>Dotacje celowe na zadania z zakresu administracji rządowej</t>
  </si>
  <si>
    <t>Pozostałe dotacje</t>
  </si>
  <si>
    <t>obsługa długu publicznego - spłata odsetek</t>
  </si>
  <si>
    <t xml:space="preserve">     od zaciągniętych kredytów</t>
  </si>
  <si>
    <t xml:space="preserve">     od emisji obligacji</t>
  </si>
  <si>
    <t>Wydatki majątkowe</t>
  </si>
  <si>
    <t>WYNIK ROKU BUDŻETOWEGO</t>
  </si>
  <si>
    <t>STAN ZADŁUŻENIA POWIATU Z TYTUŁU KREDYTÓW I OBLIGACJI NA 31/12 ROKU UBIEGŁEGO</t>
  </si>
  <si>
    <t>Emisja obligacji</t>
  </si>
  <si>
    <t>Wykup obligacji</t>
  </si>
  <si>
    <t>STAN ZADŁUŻENIA POWIATU Z TYTUŁU KREDYTÓW NA 31/12 ROKU BUDŻETOWEGO</t>
  </si>
  <si>
    <t>KWOTY PRZYPADAJĄCEGO DO SPŁATY W DANYM ROKU BUDŻETOWYM RAT KREDYTÓW, WYKUP OBLIGACJI I ODSETEK ORAZ SPŁATA UDZIELONYCH PORĘCZEŃ W STOSUNKU DO DOCHODÓW</t>
  </si>
  <si>
    <t>Zadłużenie z tytułu kredytów, w tym:</t>
  </si>
  <si>
    <t>§ 4300 - Zakup usług pozostałych</t>
  </si>
  <si>
    <t>Wyszczególnienie</t>
  </si>
  <si>
    <t>4.</t>
  </si>
  <si>
    <t>Dział</t>
  </si>
  <si>
    <t>Rozdział</t>
  </si>
  <si>
    <t>Treść</t>
  </si>
  <si>
    <t>Kwota</t>
  </si>
  <si>
    <t>Wydatki</t>
  </si>
  <si>
    <t>L.p.</t>
  </si>
  <si>
    <t>Przychody</t>
  </si>
  <si>
    <t>I.</t>
  </si>
  <si>
    <t>1.</t>
  </si>
  <si>
    <t>2.</t>
  </si>
  <si>
    <t>3.</t>
  </si>
  <si>
    <t>II.</t>
  </si>
  <si>
    <t>III.</t>
  </si>
  <si>
    <t>Wyemitowane papiery wartościowe</t>
  </si>
  <si>
    <t>5.</t>
  </si>
  <si>
    <t>Kredyty</t>
  </si>
  <si>
    <t>Pożyczki</t>
  </si>
  <si>
    <t>Przyjęte depozyty</t>
  </si>
  <si>
    <t>6.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</si>
  <si>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</si>
  <si>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</si>
  <si>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</si>
  <si>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</si>
  <si>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</si>
  <si>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</si>
  <si>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</si>
  <si>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</si>
  <si>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Dochody ogółem</t>
  </si>
  <si>
    <t>Plan przychodów i wydatków Powiatowego Funduszu</t>
  </si>
  <si>
    <t>IV.</t>
  </si>
  <si>
    <t>Stan funduszy na początek roku, w tym:</t>
  </si>
  <si>
    <t>Stan funduszy na koniec roku, w tym:</t>
  </si>
  <si>
    <t>- zobowiązania</t>
  </si>
  <si>
    <t>- należności</t>
  </si>
  <si>
    <t>- środki pieniężne</t>
  </si>
  <si>
    <t>8.</t>
  </si>
  <si>
    <t>Przychody ogółem:</t>
  </si>
  <si>
    <t>Spłaty pożyczek udzielonych</t>
  </si>
  <si>
    <t>Prywatyzacja majątku j.s.t.</t>
  </si>
  <si>
    <t>Rozchody ogółem: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</si>
  <si>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</si>
  <si>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</si>
  <si>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</si>
  <si>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</si>
  <si>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</si>
  <si>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</si>
  <si>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</si>
  <si>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</si>
  <si>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</si>
  <si>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</si>
  <si>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>Nadwyżka/Deficyt    I  - II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</si>
  <si>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</si>
  <si>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</si>
  <si>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</si>
  <si>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</si>
  <si>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</si>
  <si>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</si>
  <si>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</si>
  <si>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Finansowanie III - IV</t>
  </si>
  <si>
    <t>Dochody przeznaczone na pokrycie wydatków (I - V)</t>
  </si>
  <si>
    <t>(w złotych)</t>
  </si>
  <si>
    <t>Nazwa zadania</t>
  </si>
  <si>
    <t>§ 2960 - Przelewy redystrybucyjne</t>
  </si>
  <si>
    <t>w złotych</t>
  </si>
  <si>
    <t>§ 991</t>
  </si>
  <si>
    <t>Z dochodów przeznacza się na spłatę kredytów i pożyczek (IV)</t>
  </si>
  <si>
    <t>Lp.</t>
  </si>
  <si>
    <t>Subwencje</t>
  </si>
  <si>
    <t>Dotacje celowe na zadania własne</t>
  </si>
  <si>
    <t>I+II</t>
  </si>
  <si>
    <t>RAZEM</t>
  </si>
  <si>
    <t>§ 2440 - Dotacje przekazane z funduszy celowych na reaizację zadań bieżących dla jednostek sektora finansów publicznych</t>
  </si>
  <si>
    <t>§ 6120  - wydatki na zakupy inwestycyjne funduszy celowych</t>
  </si>
  <si>
    <t>§ 6260  - Dotacje  z funduszy celowych na finansowanie lub dofinansowanie kosztów realizacji inwestycji i zakupów inwestycyjnych jednostek sektora finansów publicznych</t>
  </si>
  <si>
    <t>§ 2450 - Dotacje przekazane z funduszy celowych na realizację zadań bieżących dla jednostek nie zaliczanych do sektora finansów publicznych</t>
  </si>
  <si>
    <t>§ 4210 - Zakup materiałów i wyposażenia</t>
  </si>
  <si>
    <t>§ 6270  - Dotacje  z funduszy celowych na finansowanie lub dofinansowanie kosztów realizacji inwestycji i zakupów inwestycyjnych jednostek nie zaliczanych do sektora finansów publicznych</t>
  </si>
  <si>
    <t>Ogółem</t>
  </si>
  <si>
    <t>w tym: dotacja                                                                                                                                        z budżetu</t>
  </si>
  <si>
    <t>w tym: wpłata                   do budżetu</t>
  </si>
  <si>
    <t>I</t>
  </si>
  <si>
    <t>-</t>
  </si>
  <si>
    <t>II</t>
  </si>
  <si>
    <t>GOSPODARSTWA POMOCNICZE  w tym:</t>
  </si>
  <si>
    <t>Zespół Szkół Warsztaty Szkolne w Lubawie,                                        ul. Kupnera 123</t>
  </si>
  <si>
    <t>Zespół Szkół Rolniczych Gospodarstwo Pomocnicze w Kisielicach, ul. Szkolna 4</t>
  </si>
  <si>
    <t>Zespól Szkół Warsztaty Szkolne w Iławie ul. Mierosławskiego 10</t>
  </si>
  <si>
    <t>Powiatowy Zarząd Dróg w Iławie</t>
  </si>
  <si>
    <t>Dom Pomocy Społecznej w Lubawie</t>
  </si>
  <si>
    <t>Zespół Szkół w Iławie, ul. Kopernika 8a</t>
  </si>
  <si>
    <t>Zespół Szkół Zawodowych w Iławie, ul. Mierosławskiego 10</t>
  </si>
  <si>
    <t>Zespół Szkół Rolniczych w Kisielicach</t>
  </si>
  <si>
    <t>9.</t>
  </si>
  <si>
    <t>Zespół Szkół Ogólnokształcących w Iławie</t>
  </si>
  <si>
    <t>10.</t>
  </si>
  <si>
    <t>Zespół Szkół w Lubawie</t>
  </si>
  <si>
    <t>Paragraf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</si>
  <si>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</si>
  <si>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</si>
  <si>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</si>
  <si>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</si>
  <si>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</si>
  <si>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za zadania bieżące z zakresu administracji rządowej oraz inne zadania zlecone ustawami realizowane przez powiat</t>
  </si>
  <si>
    <t>TRANSPORT I ŁĄCZNOŚĆ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</si>
  <si>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</si>
  <si>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</si>
  <si>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</si>
  <si>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</si>
  <si>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</si>
  <si>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</si>
  <si>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</si>
  <si>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</si>
  <si>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</si>
  <si>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</si>
  <si>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</si>
  <si>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</si>
  <si>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</si>
  <si>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</si>
  <si>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</si>
  <si>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</si>
  <si>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</si>
  <si>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Komisje Poborowe</t>
  </si>
  <si>
    <t>754</t>
  </si>
  <si>
    <t>BEZPIECZEŃSTWO PUBLICZNE I OCHRONA PRZECIWPOŻAROWA</t>
  </si>
  <si>
    <t>75411</t>
  </si>
  <si>
    <t>Komendy Powiatowe Państowej Straży Pożarnej</t>
  </si>
  <si>
    <t>75414</t>
  </si>
  <si>
    <t>Obrona cywilna</t>
  </si>
  <si>
    <t>851</t>
  </si>
  <si>
    <t>OCHRONA ZDROWIA</t>
  </si>
  <si>
    <t>85156</t>
  </si>
  <si>
    <t>Składki na ubezpieczenie zdrowotne oraz świadczenia dla osób nie objętych obowiązkiem ubezpieczenia zdrowotnego</t>
  </si>
  <si>
    <t>85203</t>
  </si>
  <si>
    <t>Ośrodki wsparcia</t>
  </si>
  <si>
    <t>POZOSTAŁE ZADANIA W ZAKRESIE POLITYKI SPOŁECZNEJ</t>
  </si>
  <si>
    <t>EDUKACYJNA OPIEKA WYCHOWAWCZA</t>
  </si>
  <si>
    <t>WYDATKI OGÓŁEM</t>
  </si>
  <si>
    <t>Wydatki bieżące, w tym:</t>
  </si>
  <si>
    <t>Wydatki inwestycyjne, w tym:</t>
  </si>
  <si>
    <t xml:space="preserve">  Dochody i wydatki związane z realizacją zadań z zakresu administracji rządowej </t>
  </si>
  <si>
    <t>OPIEKA SPOŁECZNA</t>
  </si>
  <si>
    <t xml:space="preserve">              OGÓŁEM</t>
  </si>
  <si>
    <t>KLASYFIKACJA</t>
  </si>
  <si>
    <t>Dofinansowanie dla Samorządu Województwa Warmińsko-Mazurskiego na realizację zadań związanych z funkcjonowaniem Biura Regionalnego w Brukseli</t>
  </si>
  <si>
    <t xml:space="preserve">Partycypacja w kosztach utrzymania pomieszczeń w budynkach szkoły w Zalewie w zakresie wykorzystywanych do nauki w zakresie LO dla dorosłych  </t>
  </si>
  <si>
    <t>Prowadzenie Biblioteki Powiatowej przez Miejską Bibliotekę Publiczną w Iławie działającą w strukturze Iławskiego Centrum Kultury w Iławie</t>
  </si>
  <si>
    <t>Lata realizacji</t>
  </si>
  <si>
    <t>Nakłady poniesione do 31.XII.2004</t>
  </si>
  <si>
    <t>Pozostałe nakłady do poniesienia (8+12+13+14)</t>
  </si>
  <si>
    <t>Jednostka organizacyjna realizująca zadanie</t>
  </si>
  <si>
    <t>Rok 2006</t>
  </si>
  <si>
    <t>Kredyty i pożyczki</t>
  </si>
  <si>
    <t>PZD Iława</t>
  </si>
  <si>
    <t>Rodzaj zadłużenia</t>
  </si>
  <si>
    <t xml:space="preserve">Przewidywany stan na koniec roku </t>
  </si>
  <si>
    <t>Wymagalne zobowiązania, wynikające z następujących tytułów:</t>
  </si>
  <si>
    <t xml:space="preserve">   a) ustaw</t>
  </si>
  <si>
    <t xml:space="preserve">   b) orzeczeń sądu</t>
  </si>
  <si>
    <t xml:space="preserve">   c) udzielonych poręczeń i gwarancji</t>
  </si>
  <si>
    <t xml:space="preserve">   d) innych tytułów</t>
  </si>
  <si>
    <t>Łączna kwota długu na koniec roku budżetowego</t>
  </si>
  <si>
    <t>Procentowy udział długu w dochodach</t>
  </si>
  <si>
    <t>Zapewnienie bezpiecznego wypoczynku na akwenach wodnychwypoczywających mieszkańców Powiatu oraz przybyłych turystów</t>
  </si>
  <si>
    <t>Promocja zdrowia w powiecie iławskim</t>
  </si>
  <si>
    <t>Prowadzenie placówki rodzinnej - Rodzinny Dom Dziecka</t>
  </si>
  <si>
    <t>Realizacja programu "Równe Szanse" polegającego na wspieraniu pomocą stypendialną studentów i uczniów szkół ponadgimnazjalnych</t>
  </si>
  <si>
    <t>Dofinansowanie imprez sportowych i rekreacyjnych dla mieszkańców powiatu</t>
  </si>
  <si>
    <t xml:space="preserve">Ochrony Środowiska i Gospodarki Wodnej </t>
  </si>
  <si>
    <t>Szkolenie i kwalifikacja kandydatów do pełnienia funkcji rodzin zastępczych niespokrewnionych z dziekiem oraz zawodowych rodzin zastępczych niespokrewnionych z dzieckiem</t>
  </si>
  <si>
    <t xml:space="preserve">Starostwo Powiatowe </t>
  </si>
  <si>
    <t>Współpraca z organizacjami pozarządowymi</t>
  </si>
  <si>
    <t>Współfinansowanie kosztów zatrudnienia pracownika oddelegowanego do pracy w Międzyzwiązkowej Organizacji Związkowej obsługującego szkoły i placówki na terenie miasta Iława - porozumienie z miastem Iława</t>
  </si>
  <si>
    <t>Dotacja dla budżetu Miasta Katowice na pokrycie kosztów utrzymania dziecka w rodzinie zastępczej</t>
  </si>
  <si>
    <t>RACHUNEK DOCHODÓW WŁASNYCH w tym:</t>
  </si>
  <si>
    <t xml:space="preserve"> </t>
  </si>
  <si>
    <t xml:space="preserve">                     Załącznik Nr 4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</si>
  <si>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</si>
  <si>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</si>
  <si>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</si>
  <si>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</si>
  <si>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</si>
  <si>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</si>
  <si>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</si>
  <si>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</si>
  <si>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</si>
  <si>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</si>
  <si>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</si>
  <si>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</si>
  <si>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</si>
  <si>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</si>
  <si>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</si>
  <si>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</si>
  <si>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</si>
  <si>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</si>
  <si>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</si>
  <si>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</si>
  <si>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</si>
  <si>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</si>
  <si>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</si>
  <si>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</si>
  <si>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</si>
  <si>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</si>
  <si>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2007 r.</t>
  </si>
  <si>
    <t>2008 r.</t>
  </si>
  <si>
    <t>1.2</t>
  </si>
  <si>
    <t>1.3</t>
  </si>
  <si>
    <t>Wydatki bieżące razem:</t>
  </si>
  <si>
    <t>2.2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</si>
  <si>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</si>
  <si>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</si>
  <si>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</si>
  <si>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Zintegrowany Program Operacyjny Rozwoju Regionalnego (ZPORR) 2004-2006</t>
  </si>
  <si>
    <t>Priorytet 2. Wzmocnienie rozwoju zasobów ludzkich w regionach</t>
  </si>
  <si>
    <t>Działanie 2.2 Wyrównywanie szans edukacyjnych poprzez programy stypendialne</t>
  </si>
  <si>
    <t>Dział 854 Rozdział 85415</t>
  </si>
  <si>
    <t>Dział 803 Rozdział 80309</t>
  </si>
  <si>
    <t>1.4</t>
  </si>
  <si>
    <t>DOCHODY OGÓŁEM</t>
  </si>
  <si>
    <t>SPŁATA ZOBOWIĄZAŃ (A+B+C+D)</t>
  </si>
  <si>
    <t>A.</t>
  </si>
  <si>
    <t xml:space="preserve">1. </t>
  </si>
  <si>
    <t>spłata pożyczek, kredytów krajowych</t>
  </si>
  <si>
    <t>- materiały</t>
  </si>
  <si>
    <t>Dział 600 Rozdział 60014</t>
  </si>
  <si>
    <t xml:space="preserve">                     Załącznik Nr 6</t>
  </si>
  <si>
    <t>Dotacje ogółem</t>
  </si>
  <si>
    <t>Pochodne od wynagrodzeń</t>
  </si>
  <si>
    <t>Wynagrodzenia</t>
  </si>
  <si>
    <t xml:space="preserve">Dochody i wydatki związane z realizacją zadań realizowanych </t>
  </si>
  <si>
    <t>Stan środków obrotowych** na koniec roku</t>
  </si>
  <si>
    <t>Rozliczenie z budżetem z tytułu wpłat nadwyzek środków za 2006r.</t>
  </si>
  <si>
    <t>§ 2650, § 2660</t>
  </si>
  <si>
    <t>inwestycje</t>
  </si>
  <si>
    <t>Zespół Placówek Szkolno-Wychowawczych w Iławie</t>
  </si>
  <si>
    <t xml:space="preserve">Plany przychodów i wydatków gospodarstw pomocniczych </t>
  </si>
  <si>
    <t>oraz dochodów i wydatków rachunków dochodów własnych na rok 2007</t>
  </si>
  <si>
    <t>Powiatowe Centrum Kształcenia Praktycznego w Iławie</t>
  </si>
  <si>
    <t>Powiatowy Środowiskowy Dom Samopomocy w Iławie</t>
  </si>
  <si>
    <t>Kwota dotacji</t>
  </si>
  <si>
    <t xml:space="preserve">           Dotacje celowe na zadania własne powiatu realizowane przez podmioty należące</t>
  </si>
  <si>
    <t>i nienależące do sektora finansów publicznych w 2007 r.</t>
  </si>
  <si>
    <t>Ratownictwo medyczne</t>
  </si>
  <si>
    <t>Projekt przebudowy drogi powiatowej Nr 1231N Gierłoż-Zielkowo-Byszwałd dł. 750 m</t>
  </si>
  <si>
    <t>Projekt i budowa chodnika dł. 650 m w miejscowości Grabowo do szkoły - droga powiatowa Nr 1214 Kałduny-Rożental-Wałdyki</t>
  </si>
  <si>
    <t>Przebudowa drogi Powiatowej Nr 1910 N Susz-Kisielice dł. 13,8 km (wykonanie projektu)</t>
  </si>
  <si>
    <t>zakup agregatu prądotwórczego dużej mocy (20KW)</t>
  </si>
  <si>
    <t>zakup sprzetu komputerowego wraz z oprogramowaniem</t>
  </si>
  <si>
    <t>zakup systemu zasilania awaryjnego - serwerownia</t>
  </si>
  <si>
    <t>Budowa windy w budynku Starostwa Powiatowego w Iławie</t>
  </si>
  <si>
    <t>zakup klimatyzatorów do Wydziału Komunikacji - rejestracja pojazdów</t>
  </si>
  <si>
    <t>zakup kserokopiarek</t>
  </si>
  <si>
    <t>Dofinansowanie imprez kulturalnych o zasięgu powiatowym</t>
  </si>
  <si>
    <t>Powiatowy Urząd Pracy</t>
  </si>
  <si>
    <t>zakup kserokopiarki</t>
  </si>
  <si>
    <t>Poradnia Psychologiczno-Pedagogiczna</t>
  </si>
  <si>
    <t>środki pochodzące z innych źródeł</t>
  </si>
  <si>
    <t>Szkolenie z zakresu ochrony praw konsumenta</t>
  </si>
  <si>
    <t xml:space="preserve">Zmiana układu komunikacyjnego w Iławie ul. Andersa </t>
  </si>
  <si>
    <t>Regionalny Program Operacyjny Warmia-Mazury na lata 2007-2013</t>
  </si>
  <si>
    <t>Dofinansowanie modernizacji ul. Narutowicza w Iławie</t>
  </si>
  <si>
    <t>Plan na 2007 r.</t>
  </si>
  <si>
    <t>DŁUG/DOCHODY (%) (art.. 170 ust.1 u.f.p.))</t>
  </si>
  <si>
    <t>Spłaty kredytów, pozyczek do dochodów (%) (art.. 169 ust.1 u.f.p.))</t>
  </si>
  <si>
    <t>DŁUG/DOCHODY (%) (art.. 170 ust.3 u.f.p.))</t>
  </si>
  <si>
    <t>Spłaty kredytów, pozyczek do dochodów (%) (art.. 169 ust.3 u.f.p.))</t>
  </si>
  <si>
    <t>Wykonanie 2006</t>
  </si>
  <si>
    <t xml:space="preserve">Porozumienie z Miastem Stołecznym Warszawa - koszty pobytu dzieci z Warszawy w Placówce Rodzinnej w Zalewie </t>
  </si>
  <si>
    <t>Gmina Kisielice: 8.327,-zł</t>
  </si>
  <si>
    <t>Partycypacja w kosztach utrzymania placówki opiekuńczo-wychowawczej w Kisielicach</t>
  </si>
  <si>
    <t>Porozumienie z Marszałkiem Województwa Warmińsko-Mazurskiego - Realizacja programu "Wrota Warmii i Mazur - efektywna platforma funkcjonowania administracji publicznych oraz świadczenia usług publicznych</t>
  </si>
  <si>
    <t>Przebudowa drogi powiatowej Nr 1311N Iława-Jerzwałd, odcinek Kamieniec-Bądze-Jerzwałd, gm. Iława</t>
  </si>
  <si>
    <t xml:space="preserve">Działanie 5.2 Budowa, rozbudowa i modernizacja infrastruktury transportowej służącej rozwojowi lokalnemu  </t>
  </si>
  <si>
    <t>Przebudowa mostu w Mozgowie i drogi powiatowej nr 1331N Wielowieś-Urowo, doc. Wielowieś-Mozgowo, gm. Zalewo</t>
  </si>
  <si>
    <t>2011 r.</t>
  </si>
  <si>
    <t>2.1</t>
  </si>
  <si>
    <t>2.3</t>
  </si>
  <si>
    <t>§ 4700 - Szkolenia pracowników niebędących członkami korpusu służby cywilnej</t>
  </si>
  <si>
    <t>§ 4740 - Zakup materiałów papierniczych do sprzętu drukarskiego i urządzeń kserograficznych</t>
  </si>
  <si>
    <t>§ 4750 - Zakup akcesoriów komputerowych, w tym programów i licencji</t>
  </si>
  <si>
    <t>Wykonanie 2006 r.</t>
  </si>
  <si>
    <t>Dofinansowanie zakupu inkubatora ze stanowiskiem resuscytacji noworodków (Gmina Miejska Lubawa)</t>
  </si>
  <si>
    <t>Gmina Miejska Zalewo: 30.164,-zł</t>
  </si>
  <si>
    <t>Gmina Wiejska Lubawa: 26.053,-zł</t>
  </si>
  <si>
    <t>Wykonanie</t>
  </si>
  <si>
    <t>Dochody przyznane z tyt. dotacji na realizację zadań z zakresu adm. rząd</t>
  </si>
  <si>
    <t>Dochody do przekazania do budżetu państwa lub budżetu j.s.t.</t>
  </si>
  <si>
    <t>Składki na Fundusz Pracy</t>
  </si>
  <si>
    <t>Wynagrodzenia bezosobowe</t>
  </si>
  <si>
    <t>Zakup usług pozostałych</t>
  </si>
  <si>
    <t>01008</t>
  </si>
  <si>
    <t>Melioracje wodne</t>
  </si>
  <si>
    <t>2350</t>
  </si>
  <si>
    <t>Dochody budżetu państwa związane z realizacja zadań zlecanych jednostkom samorządu terytorialnego</t>
  </si>
  <si>
    <t>4300</t>
  </si>
  <si>
    <t>4430</t>
  </si>
  <si>
    <t>Różne opłaty i składki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</si>
  <si>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</si>
  <si>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</si>
  <si>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</si>
  <si>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</si>
  <si>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</si>
  <si>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wynagrodzenia roczne</t>
  </si>
  <si>
    <t>4110</t>
  </si>
  <si>
    <t>Składki na ubezpieczenie społeczne</t>
  </si>
  <si>
    <t>4120</t>
  </si>
  <si>
    <t>4170</t>
  </si>
  <si>
    <t>4210</t>
  </si>
  <si>
    <t>Zakup materiałów i wyposażenia</t>
  </si>
  <si>
    <t>4260</t>
  </si>
  <si>
    <t>Zakup energii</t>
  </si>
  <si>
    <t>4270</t>
  </si>
  <si>
    <t>Zakup usług remontowych</t>
  </si>
  <si>
    <t>4410</t>
  </si>
  <si>
    <t>Podróże służbowe krajowe</t>
  </si>
  <si>
    <t>Rózne opłaty i składki</t>
  </si>
  <si>
    <t>4440</t>
  </si>
  <si>
    <t>Odpisy na zakładowy fundusz świadczeń socjalnych</t>
  </si>
  <si>
    <t>3070</t>
  </si>
  <si>
    <t>Wydatki osobowe niezaliczone do uposażeń wypłacane żołnierzom i funkcjonariuszom</t>
  </si>
  <si>
    <t>4050</t>
  </si>
  <si>
    <t>Uposażenie żołnieży zawodowych i nadterminowych oraz funkcjonariuszy</t>
  </si>
  <si>
    <t>4060</t>
  </si>
  <si>
    <t>Pozostałe należności żołnieży zawodowych i nadterminowych oraz funkcjonariuszy</t>
  </si>
  <si>
    <t>4070</t>
  </si>
  <si>
    <t>Nagrody roczne dla żołnieży zawodowych i nadterminowych oraz funkcjonariuszy</t>
  </si>
  <si>
    <t>4180</t>
  </si>
  <si>
    <t>Równowazniki pienieżne i ekwiwalenty dla żołnierzy i funkcjonariuszy</t>
  </si>
  <si>
    <t>4220</t>
  </si>
  <si>
    <t>Zakup środków żywności</t>
  </si>
  <si>
    <t>4280</t>
  </si>
  <si>
    <t>Zakup usług zdrowotnych</t>
  </si>
  <si>
    <t>4500</t>
  </si>
  <si>
    <t>Pozostałe podatki na rzecz budżetów jednostek samorządu terytorialnego</t>
  </si>
  <si>
    <t>4510</t>
  </si>
  <si>
    <t>Opłaty na rzecz budżetu państwa</t>
  </si>
  <si>
    <t>4130</t>
  </si>
  <si>
    <t>Składki na ubezpieczenie zdrowotne</t>
  </si>
  <si>
    <t>3020</t>
  </si>
  <si>
    <t xml:space="preserve">Wydatki osobowe nie zaliczone do wynagrodzeń </t>
  </si>
  <si>
    <t>Wynagrodzenie bezosobowe</t>
  </si>
  <si>
    <t>4350</t>
  </si>
  <si>
    <t>Zakup usług dostępu do sieci Internet</t>
  </si>
  <si>
    <t xml:space="preserve">          zleconych powiatowi i innych zadań zleconych ustawami w 2007 roku</t>
  </si>
  <si>
    <t>4750</t>
  </si>
  <si>
    <t>4370</t>
  </si>
  <si>
    <t>4400</t>
  </si>
  <si>
    <t>4740</t>
  </si>
  <si>
    <t>4080</t>
  </si>
  <si>
    <t>4360</t>
  </si>
  <si>
    <t>Opłaty z tytułu zakupu usług komunikacyjnych telefonii stacjonarnej</t>
  </si>
  <si>
    <t>Opłaty czynszowe za pomieszczenia biurowe</t>
  </si>
  <si>
    <t>Zakup materiałów papierniczych do sprzętu drukarskiego i urządzeń kserograficznych</t>
  </si>
  <si>
    <t>Opłaty z tytułu zakupu usług telekomunikacyjnych telefonii komórkowej</t>
  </si>
  <si>
    <t>Zakup akcesoriów komputerowych, w tym programów i licencji</t>
  </si>
  <si>
    <t>Uposażenia i świadczenia pieniężne wypłacane przez okres roku żołnierzom i funkcjonariuszom zwolnionym ze służby</t>
  </si>
  <si>
    <t>IX.1</t>
  </si>
  <si>
    <t>IX.2</t>
  </si>
  <si>
    <t>X.1</t>
  </si>
  <si>
    <t>X.2</t>
  </si>
  <si>
    <t>z tego: 2005r.</t>
  </si>
  <si>
    <t>2006 r.</t>
  </si>
  <si>
    <t>2.4</t>
  </si>
  <si>
    <t>Stypendia dla ponadgimnazjalistów Powiatu Iławskiego</t>
  </si>
  <si>
    <t xml:space="preserve">Dział 854 </t>
  </si>
  <si>
    <t>Rozdział 85415</t>
  </si>
  <si>
    <t xml:space="preserve">                     Załącznik Nr 5</t>
  </si>
  <si>
    <t>Dotacje celowe otrzymane od samorządu województwa na zadania bieżące realizowane na podstawie porozumień (umów) między jednostkami samorządu terytorialnego</t>
  </si>
  <si>
    <t>Dotacje otrzymane z gminy na zadania bieżące realizowane na podstawie porozumień między jst</t>
  </si>
  <si>
    <t>Dofinansowanie pobutu młodzieży z Zespołu Szkół Ogólnokształcących w Iławie w sesji Młodzieżowej Parlamentu Europejskiego Regionu Morza Bałtyckiego w Malmo i Kopenhadze - porozumienie z Gminą Miejską Iława</t>
  </si>
  <si>
    <t xml:space="preserve">Zatrudnienie pracownika do pracy z dziećmi i młodzieżą zagrożoną destrukcją społeczną oraz uzależnieniem od alkoholu i substancji psychoaktywnych - 15.900,-zł </t>
  </si>
  <si>
    <t>Komenda Powiatowa Państwowej Straży Pożarnej</t>
  </si>
  <si>
    <t>Dofinansowanie zmiany układu komunikacyjnego w Iławie ul. Andersa - Gmina Wiejska Iława</t>
  </si>
  <si>
    <t>Powiat Działdowski - 8.100,-zł</t>
  </si>
  <si>
    <t>Powiat Malborski - 9.200,-zł</t>
  </si>
  <si>
    <t xml:space="preserve">                     Załącznik Nr 7</t>
  </si>
  <si>
    <t>4700</t>
  </si>
  <si>
    <t>Szkolenia pracowników nie będących CZ.K.S.C.</t>
  </si>
  <si>
    <t>Kredyty zaciągnięte w danym roku budżetowym:</t>
  </si>
  <si>
    <t>§ 4430 - Rózne opłaty i składki</t>
  </si>
  <si>
    <t>Przebudowa drogi powiatowej Zalewo- Iława, odcinek Iława-Makowo oraz przebudowa mostu w Dubie</t>
  </si>
  <si>
    <t>Przebudowa drogi powiatowej nr 1329 w Iławie, ulicy Dąbrowskiego i ul. Zalewskiej</t>
  </si>
  <si>
    <t>2012 r.</t>
  </si>
  <si>
    <t>2013 r.</t>
  </si>
  <si>
    <t>Działanie 5.2 Infrastruktura transportowa służąca rozwojowi lokalnemu</t>
  </si>
  <si>
    <t>Priorytet 5. Infrastruktura transportowa regionalna i lokalna</t>
  </si>
  <si>
    <t>Partycypowanie w kosztach budowy chodnika o dł. 200 mb przy drodze powiatowej 1313N Wikielec-Karaś - I etap</t>
  </si>
  <si>
    <t xml:space="preserve">                     Załącznik Nr 8</t>
  </si>
  <si>
    <t>4390</t>
  </si>
  <si>
    <t>Zakup usług obejmujących wykonanie ekspertyz, analiz i opinii</t>
  </si>
  <si>
    <t>Powiat Chorzów -           2.274,-zł</t>
  </si>
  <si>
    <t>Powiat Ostródzki -         38.869,-zł</t>
  </si>
  <si>
    <t>Zakup kosiarek rotacyjnych</t>
  </si>
  <si>
    <t>Powiat Nidzica - 8.860,-zł</t>
  </si>
  <si>
    <t xml:space="preserve">                     Załącznik Nr 3</t>
  </si>
  <si>
    <t xml:space="preserve">                     Załącznik Nr 12</t>
  </si>
  <si>
    <t>6410</t>
  </si>
  <si>
    <t>6220</t>
  </si>
  <si>
    <t>Dotacje celowe otrzymane z budżetu państwa na inwestycje i zakupy inwestycyjne z zakresu administracji rządowej oraz inne zadania zlecone ustawami realizowane przez powiat</t>
  </si>
  <si>
    <t>Dotacje celowe z budżetu na finansowanie lub dofinansowanie kosztów realizacji inwestycji i zakupów inwestycyjnych innych jednostek sektora finansów publicznych</t>
  </si>
  <si>
    <t xml:space="preserve">                                      do Uchwały Rady Powiatu Nr XII/        /07</t>
  </si>
  <si>
    <t xml:space="preserve">                                      z dnia 25 października 2007 roku</t>
  </si>
  <si>
    <t xml:space="preserve">Dofinansowanie zakupu środków ochrony osobistej strażąków, tj. ubrań ochronnych, rękawic ochronnych, butów (Gmina Miejska Iława) </t>
  </si>
  <si>
    <t xml:space="preserve">Dofinansowanie zakupu zakupu kserokopiarki (Gmina Miejska Iława) </t>
  </si>
  <si>
    <t>Dotacje celowe otrzymane z gminy na inwestycje i zakupy inwestycyjne realizowane na podstawie porozumień (umów) między jst</t>
  </si>
  <si>
    <t>Partycypowanie w kosztach budowy chodnika o dł. 380 mb przy drodze powiatowej 1214N Kałduny-Rożental-Wałdyki - I etap</t>
  </si>
  <si>
    <t>Zakup sprzętu do monitorowania budynku i parkingu</t>
  </si>
  <si>
    <t>§ 4170 - Wynagrodzenia bezosobowe</t>
  </si>
  <si>
    <t>Powiat Szczytno -           4.529,-zł</t>
  </si>
  <si>
    <t>2.5</t>
  </si>
  <si>
    <t>Dział 801 Rozdział 80146</t>
  </si>
  <si>
    <t>Uczenie się przez całe życie</t>
  </si>
  <si>
    <t>Powiat Janów Lubelski-  21.168,-zł</t>
  </si>
  <si>
    <t xml:space="preserve">                     Załącznik Nr 9</t>
  </si>
  <si>
    <t>Sektorowy Program -LEONARDO DA VINCI</t>
  </si>
  <si>
    <t xml:space="preserve">                     Załącznik Nr 11</t>
  </si>
  <si>
    <t>Generalna przebudowa mostu w Dobrzykach w ciągu drogi powiatowej Nr 1307N Susz-Jerzwałd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</si>
</sst>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\ _z_ł"/>
    <numFmt numFmtId="176" formatCode="#,##0.00\ _z_ł"/>
  </numFmts>
  <fonts count="42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3"/>
      <name val="Arial CE"/>
      <family val="2"/>
    </font>
    <font>
      <b/>
      <sz val="9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MS Sans Serif"/>
      <family val="0"/>
    </font>
    <font>
      <sz val="10"/>
      <color indexed="10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8"/>
      <color indexed="9"/>
      <name val="Arial CE"/>
      <family val="2"/>
    </font>
    <font>
      <sz val="12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color indexed="10"/>
      <name val="Arial"/>
      <family val="0"/>
    </font>
    <font>
      <sz val="11"/>
      <color indexed="10"/>
      <name val="Arial CE"/>
      <family val="2"/>
    </font>
    <font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sz val="11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30" fillId="0" borderId="0">
      <alignment/>
      <protection/>
    </xf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3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5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" fontId="5" fillId="0" borderId="18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18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7" fillId="0" borderId="18" xfId="0" applyFont="1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9" fillId="0" borderId="0" xfId="0" applyNumberFormat="1" applyFont="1" applyAlignment="1">
      <alignment horizontal="lef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 wrapText="1"/>
    </xf>
    <xf numFmtId="49" fontId="5" fillId="2" borderId="11" xfId="0" applyNumberFormat="1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 wrapText="1"/>
    </xf>
    <xf numFmtId="49" fontId="5" fillId="2" borderId="25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/>
    </xf>
    <xf numFmtId="4" fontId="5" fillId="0" borderId="2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4" fontId="23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3" fillId="0" borderId="0" xfId="0" applyFont="1" applyAlignment="1">
      <alignment horizontal="left"/>
    </xf>
    <xf numFmtId="4" fontId="25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1" fillId="0" borderId="0" xfId="0" applyFont="1" applyAlignment="1">
      <alignment horizontal="left"/>
    </xf>
    <xf numFmtId="0" fontId="26" fillId="0" borderId="0" xfId="0" applyFont="1" applyAlignment="1">
      <alignment vertical="top"/>
    </xf>
    <xf numFmtId="0" fontId="22" fillId="0" borderId="0" xfId="0" applyFont="1" applyAlignment="1">
      <alignment/>
    </xf>
    <xf numFmtId="0" fontId="12" fillId="0" borderId="0" xfId="0" applyFont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4" fontId="0" fillId="2" borderId="18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0" fillId="0" borderId="0" xfId="0" applyFont="1" applyFill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3" fontId="22" fillId="0" borderId="18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3" fontId="27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5" fillId="0" borderId="18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 vertical="center"/>
    </xf>
    <xf numFmtId="0" fontId="0" fillId="0" borderId="18" xfId="0" applyFont="1" applyFill="1" applyBorder="1" applyAlignment="1">
      <alignment/>
    </xf>
    <xf numFmtId="4" fontId="6" fillId="0" borderId="0" xfId="0" applyNumberFormat="1" applyFont="1" applyFill="1" applyAlignment="1">
      <alignment horizontal="left"/>
    </xf>
    <xf numFmtId="4" fontId="11" fillId="0" borderId="0" xfId="0" applyNumberFormat="1" applyFont="1" applyFill="1" applyAlignment="1">
      <alignment horizontal="left"/>
    </xf>
    <xf numFmtId="4" fontId="20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right"/>
    </xf>
    <xf numFmtId="4" fontId="5" fillId="0" borderId="30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5" fillId="0" borderId="11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5" fillId="0" borderId="31" xfId="18" applyNumberFormat="1" applyFont="1" applyFill="1" applyBorder="1" applyAlignment="1">
      <alignment horizontal="right" wrapText="1"/>
      <protection/>
    </xf>
    <xf numFmtId="3" fontId="27" fillId="0" borderId="18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/>
    </xf>
    <xf numFmtId="0" fontId="12" fillId="0" borderId="18" xfId="0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/>
    </xf>
    <xf numFmtId="0" fontId="1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3" fontId="5" fillId="0" borderId="18" xfId="0" applyNumberFormat="1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/>
    </xf>
    <xf numFmtId="0" fontId="31" fillId="0" borderId="0" xfId="19" applyFont="1">
      <alignment/>
      <protection/>
    </xf>
    <xf numFmtId="0" fontId="31" fillId="0" borderId="18" xfId="19" applyFont="1" applyBorder="1" applyAlignment="1">
      <alignment horizontal="center" vertical="center" wrapText="1"/>
      <protection/>
    </xf>
    <xf numFmtId="0" fontId="32" fillId="0" borderId="18" xfId="19" applyFont="1" applyBorder="1" applyAlignment="1">
      <alignment horizontal="center" vertical="center"/>
      <protection/>
    </xf>
    <xf numFmtId="0" fontId="31" fillId="0" borderId="18" xfId="19" applyFont="1" applyBorder="1">
      <alignment/>
      <protection/>
    </xf>
    <xf numFmtId="0" fontId="21" fillId="0" borderId="0" xfId="0" applyFont="1" applyFill="1" applyAlignment="1">
      <alignment vertical="center"/>
    </xf>
    <xf numFmtId="10" fontId="5" fillId="0" borderId="18" xfId="2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0" fontId="5" fillId="0" borderId="18" xfId="0" applyNumberFormat="1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4" fontId="6" fillId="2" borderId="45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horizontal="right"/>
    </xf>
    <xf numFmtId="0" fontId="0" fillId="0" borderId="26" xfId="0" applyFont="1" applyBorder="1" applyAlignment="1">
      <alignment horizontal="center" vertical="center" wrapText="1"/>
    </xf>
    <xf numFmtId="3" fontId="29" fillId="0" borderId="18" xfId="19" applyNumberFormat="1" applyFont="1" applyBorder="1">
      <alignment/>
      <protection/>
    </xf>
    <xf numFmtId="0" fontId="29" fillId="0" borderId="0" xfId="19" applyFont="1">
      <alignment/>
      <protection/>
    </xf>
    <xf numFmtId="0" fontId="32" fillId="0" borderId="18" xfId="19" applyFont="1" applyFill="1" applyBorder="1" applyAlignment="1">
      <alignment horizontal="center" vertical="center"/>
      <protection/>
    </xf>
    <xf numFmtId="0" fontId="29" fillId="0" borderId="18" xfId="19" applyFont="1" applyFill="1" applyBorder="1">
      <alignment/>
      <protection/>
    </xf>
    <xf numFmtId="0" fontId="31" fillId="0" borderId="18" xfId="19" applyFont="1" applyFill="1" applyBorder="1">
      <alignment/>
      <protection/>
    </xf>
    <xf numFmtId="0" fontId="29" fillId="0" borderId="18" xfId="19" applyFont="1" applyFill="1" applyBorder="1" applyAlignment="1">
      <alignment horizontal="center"/>
      <protection/>
    </xf>
    <xf numFmtId="0" fontId="12" fillId="0" borderId="11" xfId="0" applyFont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top" wrapText="1"/>
    </xf>
    <xf numFmtId="3" fontId="0" fillId="0" borderId="18" xfId="0" applyNumberFormat="1" applyFont="1" applyFill="1" applyBorder="1" applyAlignment="1">
      <alignment horizontal="right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35" fillId="0" borderId="18" xfId="19" applyFont="1" applyBorder="1">
      <alignment/>
      <protection/>
    </xf>
    <xf numFmtId="3" fontId="5" fillId="0" borderId="26" xfId="0" applyNumberFormat="1" applyFont="1" applyFill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right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4" fontId="0" fillId="0" borderId="28" xfId="0" applyNumberFormat="1" applyFont="1" applyBorder="1" applyAlignment="1">
      <alignment horizontal="right" vertical="center" wrapText="1"/>
    </xf>
    <xf numFmtId="4" fontId="5" fillId="0" borderId="47" xfId="0" applyNumberFormat="1" applyFont="1" applyBorder="1" applyAlignment="1">
      <alignment horizontal="center" vertical="center" wrapText="1"/>
    </xf>
    <xf numFmtId="4" fontId="0" fillId="0" borderId="47" xfId="0" applyNumberFormat="1" applyFont="1" applyBorder="1" applyAlignment="1">
      <alignment horizontal="right" vertical="center" wrapText="1"/>
    </xf>
    <xf numFmtId="4" fontId="0" fillId="0" borderId="25" xfId="0" applyNumberFormat="1" applyFont="1" applyBorder="1" applyAlignment="1">
      <alignment horizontal="right" vertical="center" wrapText="1"/>
    </xf>
    <xf numFmtId="4" fontId="0" fillId="0" borderId="48" xfId="0" applyNumberFormat="1" applyFont="1" applyBorder="1" applyAlignment="1">
      <alignment horizontal="right" vertical="center" wrapText="1"/>
    </xf>
    <xf numFmtId="4" fontId="0" fillId="0" borderId="30" xfId="0" applyNumberFormat="1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right" vertical="center" wrapText="1"/>
    </xf>
    <xf numFmtId="4" fontId="0" fillId="0" borderId="29" xfId="0" applyNumberFormat="1" applyFont="1" applyBorder="1" applyAlignment="1">
      <alignment horizontal="right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4" fontId="28" fillId="0" borderId="47" xfId="0" applyNumberFormat="1" applyFont="1" applyBorder="1" applyAlignment="1">
      <alignment horizontal="center" vertical="center" wrapText="1"/>
    </xf>
    <xf numFmtId="4" fontId="19" fillId="0" borderId="47" xfId="0" applyNumberFormat="1" applyFont="1" applyBorder="1" applyAlignment="1">
      <alignment horizontal="right" vertical="center" wrapText="1"/>
    </xf>
    <xf numFmtId="4" fontId="19" fillId="0" borderId="25" xfId="0" applyNumberFormat="1" applyFont="1" applyBorder="1" applyAlignment="1">
      <alignment horizontal="right" vertical="center" wrapText="1"/>
    </xf>
    <xf numFmtId="4" fontId="19" fillId="0" borderId="48" xfId="0" applyNumberFormat="1" applyFont="1" applyBorder="1" applyAlignment="1">
      <alignment horizontal="right" vertical="center" wrapText="1"/>
    </xf>
    <xf numFmtId="4" fontId="28" fillId="0" borderId="30" xfId="0" applyNumberFormat="1" applyFont="1" applyBorder="1" applyAlignment="1">
      <alignment horizontal="center" vertical="center" wrapText="1"/>
    </xf>
    <xf numFmtId="4" fontId="19" fillId="0" borderId="30" xfId="0" applyNumberFormat="1" applyFont="1" applyBorder="1" applyAlignment="1">
      <alignment horizontal="right" vertical="center" wrapText="1"/>
    </xf>
    <xf numFmtId="4" fontId="19" fillId="0" borderId="26" xfId="0" applyNumberFormat="1" applyFont="1" applyBorder="1" applyAlignment="1">
      <alignment horizontal="right" vertical="center" wrapText="1"/>
    </xf>
    <xf numFmtId="4" fontId="19" fillId="0" borderId="29" xfId="0" applyNumberFormat="1" applyFont="1" applyBorder="1" applyAlignment="1">
      <alignment horizontal="right" vertical="center" wrapText="1"/>
    </xf>
    <xf numFmtId="4" fontId="12" fillId="0" borderId="0" xfId="0" applyNumberFormat="1" applyFont="1" applyFill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4" fontId="7" fillId="0" borderId="49" xfId="0" applyNumberFormat="1" applyFont="1" applyFill="1" applyBorder="1" applyAlignment="1">
      <alignment horizontal="right" vertical="center"/>
    </xf>
    <xf numFmtId="4" fontId="7" fillId="0" borderId="50" xfId="0" applyNumberFormat="1" applyFont="1" applyFill="1" applyBorder="1" applyAlignment="1">
      <alignment horizontal="right" vertical="center"/>
    </xf>
    <xf numFmtId="3" fontId="10" fillId="0" borderId="2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2" borderId="7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3" fontId="9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3" fillId="0" borderId="18" xfId="0" applyNumberFormat="1" applyFont="1" applyFill="1" applyBorder="1" applyAlignment="1">
      <alignment vertical="center" wrapText="1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vertical="center"/>
    </xf>
    <xf numFmtId="0" fontId="31" fillId="0" borderId="18" xfId="19" applyFont="1" applyBorder="1">
      <alignment/>
      <protection/>
    </xf>
    <xf numFmtId="3" fontId="31" fillId="0" borderId="18" xfId="19" applyNumberFormat="1" applyFont="1" applyBorder="1">
      <alignment/>
      <protection/>
    </xf>
    <xf numFmtId="0" fontId="31" fillId="0" borderId="0" xfId="19" applyFont="1">
      <alignment/>
      <protection/>
    </xf>
    <xf numFmtId="0" fontId="31" fillId="0" borderId="11" xfId="19" applyFont="1" applyFill="1" applyBorder="1">
      <alignment/>
      <protection/>
    </xf>
    <xf numFmtId="3" fontId="31" fillId="0" borderId="24" xfId="19" applyNumberFormat="1" applyFont="1" applyBorder="1">
      <alignment/>
      <protection/>
    </xf>
    <xf numFmtId="0" fontId="35" fillId="0" borderId="18" xfId="19" applyFont="1" applyBorder="1" applyAlignment="1">
      <alignment horizontal="center"/>
      <protection/>
    </xf>
    <xf numFmtId="0" fontId="19" fillId="0" borderId="0" xfId="0" applyFont="1" applyAlignment="1">
      <alignment/>
    </xf>
    <xf numFmtId="0" fontId="5" fillId="2" borderId="16" xfId="0" applyFont="1" applyFill="1" applyBorder="1" applyAlignment="1">
      <alignment horizontal="center"/>
    </xf>
    <xf numFmtId="10" fontId="5" fillId="0" borderId="18" xfId="21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/>
    </xf>
    <xf numFmtId="0" fontId="36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27" fillId="0" borderId="18" xfId="0" applyNumberFormat="1" applyFont="1" applyFill="1" applyBorder="1" applyAlignment="1">
      <alignment horizontal="right"/>
    </xf>
    <xf numFmtId="4" fontId="22" fillId="0" borderId="18" xfId="0" applyNumberFormat="1" applyFont="1" applyFill="1" applyBorder="1" applyAlignment="1">
      <alignment/>
    </xf>
    <xf numFmtId="4" fontId="27" fillId="0" borderId="18" xfId="0" applyNumberFormat="1" applyFont="1" applyFill="1" applyBorder="1" applyAlignment="1">
      <alignment/>
    </xf>
    <xf numFmtId="10" fontId="27" fillId="0" borderId="18" xfId="21" applyNumberFormat="1" applyFont="1" applyFill="1" applyBorder="1" applyAlignment="1">
      <alignment horizontal="center"/>
    </xf>
    <xf numFmtId="10" fontId="27" fillId="0" borderId="18" xfId="21" applyNumberFormat="1" applyFont="1" applyFill="1" applyBorder="1" applyAlignment="1">
      <alignment vertical="center"/>
    </xf>
    <xf numFmtId="10" fontId="27" fillId="0" borderId="18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3" fontId="31" fillId="0" borderId="18" xfId="19" applyNumberFormat="1" applyFont="1" applyFill="1" applyBorder="1">
      <alignment/>
      <protection/>
    </xf>
    <xf numFmtId="3" fontId="31" fillId="0" borderId="26" xfId="19" applyNumberFormat="1" applyFont="1" applyBorder="1" applyAlignment="1">
      <alignment horizontal="center"/>
      <protection/>
    </xf>
    <xf numFmtId="3" fontId="31" fillId="0" borderId="24" xfId="19" applyNumberFormat="1" applyFont="1" applyBorder="1" applyAlignment="1">
      <alignment horizontal="center"/>
      <protection/>
    </xf>
    <xf numFmtId="3" fontId="31" fillId="0" borderId="25" xfId="19" applyNumberFormat="1" applyFont="1" applyBorder="1" applyAlignment="1">
      <alignment horizontal="center"/>
      <protection/>
    </xf>
    <xf numFmtId="0" fontId="37" fillId="0" borderId="18" xfId="19" applyFont="1" applyBorder="1" applyAlignment="1">
      <alignment horizontal="center" vertical="center" wrapText="1"/>
      <protection/>
    </xf>
    <xf numFmtId="3" fontId="31" fillId="0" borderId="16" xfId="19" applyNumberFormat="1" applyFont="1" applyBorder="1">
      <alignment/>
      <protection/>
    </xf>
    <xf numFmtId="3" fontId="31" fillId="0" borderId="27" xfId="19" applyNumberFormat="1" applyFont="1" applyBorder="1" applyAlignment="1">
      <alignment horizontal="center"/>
      <protection/>
    </xf>
    <xf numFmtId="3" fontId="31" fillId="0" borderId="28" xfId="19" applyNumberFormat="1" applyFont="1" applyBorder="1" applyAlignment="1">
      <alignment horizontal="center"/>
      <protection/>
    </xf>
    <xf numFmtId="3" fontId="31" fillId="0" borderId="47" xfId="19" applyNumberFormat="1" applyFont="1" applyBorder="1" applyAlignment="1">
      <alignment horizontal="center"/>
      <protection/>
    </xf>
    <xf numFmtId="3" fontId="31" fillId="0" borderId="48" xfId="19" applyNumberFormat="1" applyFont="1" applyBorder="1" applyAlignment="1">
      <alignment horizontal="center"/>
      <protection/>
    </xf>
    <xf numFmtId="3" fontId="31" fillId="0" borderId="30" xfId="19" applyNumberFormat="1" applyFont="1" applyBorder="1" applyAlignment="1">
      <alignment horizontal="center"/>
      <protection/>
    </xf>
    <xf numFmtId="3" fontId="31" fillId="0" borderId="29" xfId="19" applyNumberFormat="1" applyFont="1" applyBorder="1" applyAlignment="1">
      <alignment horizontal="center"/>
      <protection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4" fontId="5" fillId="0" borderId="16" xfId="0" applyNumberFormat="1" applyFont="1" applyBorder="1" applyAlignment="1">
      <alignment horizontal="right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 vertical="center" wrapText="1"/>
    </xf>
    <xf numFmtId="49" fontId="5" fillId="2" borderId="48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49" fontId="40" fillId="0" borderId="0" xfId="0" applyNumberFormat="1" applyFont="1" applyAlignment="1">
      <alignment horizontal="left"/>
    </xf>
    <xf numFmtId="49" fontId="15" fillId="0" borderId="18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49" fontId="5" fillId="2" borderId="47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right" vertical="center"/>
    </xf>
    <xf numFmtId="49" fontId="5" fillId="2" borderId="30" xfId="0" applyNumberFormat="1" applyFont="1" applyFill="1" applyBorder="1" applyAlignment="1">
      <alignment horizontal="center" vertical="center"/>
    </xf>
    <xf numFmtId="4" fontId="0" fillId="0" borderId="26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24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26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right" vertical="center"/>
    </xf>
    <xf numFmtId="0" fontId="31" fillId="0" borderId="24" xfId="19" applyFont="1" applyBorder="1" applyAlignment="1">
      <alignment horizontal="center" vertical="center"/>
      <protection/>
    </xf>
    <xf numFmtId="0" fontId="31" fillId="0" borderId="26" xfId="19" applyFont="1" applyBorder="1" applyAlignment="1">
      <alignment horizontal="center" vertical="center"/>
      <protection/>
    </xf>
    <xf numFmtId="0" fontId="31" fillId="0" borderId="24" xfId="19" applyFont="1" applyBorder="1" applyAlignment="1">
      <alignment horizontal="center" vertical="center" wrapText="1"/>
      <protection/>
    </xf>
    <xf numFmtId="0" fontId="31" fillId="0" borderId="26" xfId="19" applyFont="1" applyBorder="1" applyAlignment="1">
      <alignment horizontal="center" vertical="center" wrapText="1"/>
      <protection/>
    </xf>
    <xf numFmtId="3" fontId="31" fillId="0" borderId="18" xfId="19" applyNumberFormat="1" applyFont="1" applyBorder="1">
      <alignment/>
      <protection/>
    </xf>
    <xf numFmtId="3" fontId="31" fillId="0" borderId="24" xfId="19" applyNumberFormat="1" applyFont="1" applyBorder="1" applyAlignment="1">
      <alignment horizontal="center"/>
      <protection/>
    </xf>
    <xf numFmtId="3" fontId="31" fillId="0" borderId="26" xfId="19" applyNumberFormat="1" applyFont="1" applyBorder="1" applyAlignment="1">
      <alignment horizontal="center"/>
      <protection/>
    </xf>
    <xf numFmtId="0" fontId="12" fillId="0" borderId="4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3" fontId="9" fillId="0" borderId="18" xfId="0" applyNumberFormat="1" applyFont="1" applyFill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0" fontId="13" fillId="0" borderId="18" xfId="0" applyFont="1" applyBorder="1" applyAlignment="1">
      <alignment horizontal="left" vertical="center" wrapText="1"/>
    </xf>
    <xf numFmtId="4" fontId="5" fillId="0" borderId="47" xfId="0" applyNumberFormat="1" applyFont="1" applyBorder="1" applyAlignment="1">
      <alignment horizontal="right" vertical="center" wrapText="1"/>
    </xf>
    <xf numFmtId="4" fontId="5" fillId="0" borderId="30" xfId="0" applyNumberFormat="1" applyFont="1" applyBorder="1" applyAlignment="1">
      <alignment horizontal="right" vertical="center" wrapText="1"/>
    </xf>
    <xf numFmtId="0" fontId="7" fillId="0" borderId="18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4" fontId="16" fillId="0" borderId="18" xfId="0" applyNumberFormat="1" applyFont="1" applyFill="1" applyBorder="1" applyAlignment="1">
      <alignment horizontal="right" vertical="center"/>
    </xf>
    <xf numFmtId="4" fontId="17" fillId="0" borderId="18" xfId="0" applyNumberFormat="1" applyFont="1" applyFill="1" applyBorder="1" applyAlignment="1">
      <alignment horizontal="right" vertical="center" wrapText="1"/>
    </xf>
    <xf numFmtId="4" fontId="16" fillId="0" borderId="18" xfId="0" applyNumberFormat="1" applyFont="1" applyFill="1" applyBorder="1" applyAlignment="1">
      <alignment horizontal="right" vertical="center" wrapText="1"/>
    </xf>
    <xf numFmtId="2" fontId="0" fillId="0" borderId="18" xfId="0" applyNumberFormat="1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0" fontId="7" fillId="0" borderId="2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176" fontId="3" fillId="0" borderId="22" xfId="0" applyNumberFormat="1" applyFont="1" applyBorder="1" applyAlignment="1">
      <alignment horizontal="center" vertical="center"/>
    </xf>
    <xf numFmtId="0" fontId="1" fillId="0" borderId="18" xfId="0" applyFont="1" applyBorder="1" applyAlignment="1" quotePrefix="1">
      <alignment horizontal="left" vertical="center" indent="1"/>
    </xf>
    <xf numFmtId="176" fontId="1" fillId="0" borderId="22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 quotePrefix="1">
      <alignment horizontal="left" vertical="center" indent="1"/>
    </xf>
    <xf numFmtId="164" fontId="1" fillId="0" borderId="23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 horizontal="center" vertical="center"/>
    </xf>
    <xf numFmtId="0" fontId="1" fillId="0" borderId="26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lef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0" fillId="0" borderId="29" xfId="0" applyNumberFormat="1" applyFont="1" applyFill="1" applyBorder="1" applyAlignment="1">
      <alignment horizontal="right" vertical="center" wrapText="1"/>
    </xf>
    <xf numFmtId="3" fontId="1" fillId="0" borderId="30" xfId="0" applyNumberFormat="1" applyFont="1" applyFill="1" applyBorder="1" applyAlignment="1">
      <alignment horizontal="right" vertical="center" wrapText="1"/>
    </xf>
    <xf numFmtId="3" fontId="1" fillId="0" borderId="29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/>
    </xf>
    <xf numFmtId="0" fontId="1" fillId="0" borderId="0" xfId="0" applyFont="1" applyAlignment="1">
      <alignment/>
    </xf>
    <xf numFmtId="3" fontId="1" fillId="0" borderId="26" xfId="0" applyNumberFormat="1" applyFont="1" applyFill="1" applyBorder="1" applyAlignment="1">
      <alignment vertical="center" wrapText="1"/>
    </xf>
    <xf numFmtId="3" fontId="1" fillId="0" borderId="26" xfId="0" applyNumberFormat="1" applyFont="1" applyFill="1" applyBorder="1" applyAlignment="1">
      <alignment horizontal="righ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left"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right" vertical="center" wrapText="1"/>
    </xf>
    <xf numFmtId="0" fontId="15" fillId="0" borderId="26" xfId="0" applyFont="1" applyBorder="1" applyAlignment="1">
      <alignment horizontal="left" vertical="center" wrapText="1"/>
    </xf>
    <xf numFmtId="49" fontId="5" fillId="2" borderId="16" xfId="0" applyNumberFormat="1" applyFont="1" applyFill="1" applyBorder="1" applyAlignment="1">
      <alignment horizontal="center" vertical="center"/>
    </xf>
    <xf numFmtId="4" fontId="5" fillId="0" borderId="28" xfId="0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vertical="center"/>
    </xf>
    <xf numFmtId="3" fontId="1" fillId="0" borderId="27" xfId="0" applyNumberFormat="1" applyFont="1" applyFill="1" applyBorder="1" applyAlignment="1">
      <alignment horizontal="right" vertical="center" wrapText="1"/>
    </xf>
    <xf numFmtId="3" fontId="1" fillId="0" borderId="28" xfId="0" applyNumberFormat="1" applyFont="1" applyFill="1" applyBorder="1" applyAlignment="1">
      <alignment horizontal="right" vertical="center" wrapText="1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/>
    </xf>
    <xf numFmtId="0" fontId="15" fillId="0" borderId="18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 wrapText="1"/>
    </xf>
    <xf numFmtId="3" fontId="1" fillId="0" borderId="28" xfId="0" applyNumberFormat="1" applyFont="1" applyFill="1" applyBorder="1" applyAlignment="1">
      <alignment vertical="center" wrapText="1"/>
    </xf>
    <xf numFmtId="3" fontId="1" fillId="0" borderId="48" xfId="0" applyNumberFormat="1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1" fillId="0" borderId="24" xfId="0" applyNumberFormat="1" applyFont="1" applyFill="1" applyBorder="1" applyAlignment="1">
      <alignment vertical="center" wrapText="1"/>
    </xf>
    <xf numFmtId="3" fontId="1" fillId="0" borderId="25" xfId="0" applyNumberFormat="1" applyFont="1" applyFill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5" fillId="2" borderId="48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left" vertical="center"/>
    </xf>
    <xf numFmtId="49" fontId="0" fillId="0" borderId="26" xfId="0" applyNumberFormat="1" applyFont="1" applyFill="1" applyBorder="1" applyAlignment="1">
      <alignment horizontal="left" vertical="center"/>
    </xf>
    <xf numFmtId="49" fontId="0" fillId="0" borderId="18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/>
    </xf>
    <xf numFmtId="0" fontId="29" fillId="0" borderId="18" xfId="0" applyFont="1" applyFill="1" applyBorder="1" applyAlignment="1">
      <alignment horizontal="center" vertical="center" wrapText="1"/>
    </xf>
    <xf numFmtId="3" fontId="1" fillId="0" borderId="47" xfId="0" applyNumberFormat="1" applyFont="1" applyFill="1" applyBorder="1" applyAlignment="1">
      <alignment horizontal="right" vertical="center" wrapText="1"/>
    </xf>
    <xf numFmtId="3" fontId="1" fillId="0" borderId="48" xfId="0" applyNumberFormat="1" applyFont="1" applyFill="1" applyBorder="1" applyAlignment="1">
      <alignment horizontal="right" vertical="center" wrapText="1"/>
    </xf>
    <xf numFmtId="3" fontId="1" fillId="0" borderId="30" xfId="0" applyNumberFormat="1" applyFont="1" applyFill="1" applyBorder="1" applyAlignment="1">
      <alignment horizontal="right" vertical="center" wrapText="1"/>
    </xf>
    <xf numFmtId="3" fontId="1" fillId="0" borderId="29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27" xfId="0" applyNumberFormat="1" applyFont="1" applyFill="1" applyBorder="1" applyAlignment="1">
      <alignment vertical="center" wrapText="1"/>
    </xf>
    <xf numFmtId="3" fontId="1" fillId="0" borderId="47" xfId="0" applyNumberFormat="1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27" xfId="0" applyNumberFormat="1" applyFont="1" applyFill="1" applyBorder="1" applyAlignment="1">
      <alignment horizontal="right" vertical="center" wrapText="1"/>
    </xf>
    <xf numFmtId="3" fontId="0" fillId="0" borderId="28" xfId="0" applyNumberFormat="1" applyFont="1" applyFill="1" applyBorder="1" applyAlignment="1">
      <alignment horizontal="right" vertical="center" wrapText="1"/>
    </xf>
    <xf numFmtId="3" fontId="0" fillId="0" borderId="47" xfId="0" applyNumberFormat="1" applyFont="1" applyFill="1" applyBorder="1" applyAlignment="1">
      <alignment horizontal="right" vertical="center" wrapText="1"/>
    </xf>
    <xf numFmtId="3" fontId="0" fillId="0" borderId="48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0" fillId="0" borderId="29" xfId="0" applyNumberFormat="1" applyFont="1" applyFill="1" applyBorder="1" applyAlignment="1">
      <alignment horizontal="right" vertical="center" wrapText="1"/>
    </xf>
    <xf numFmtId="3" fontId="0" fillId="0" borderId="24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3" fontId="0" fillId="0" borderId="26" xfId="0" applyNumberFormat="1" applyBorder="1" applyAlignment="1">
      <alignment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7" fillId="0" borderId="24" xfId="0" applyFont="1" applyBorder="1" applyAlignment="1">
      <alignment horizontal="center" vertical="center" wrapText="1"/>
    </xf>
    <xf numFmtId="3" fontId="31" fillId="0" borderId="24" xfId="19" applyNumberFormat="1" applyFont="1" applyFill="1" applyBorder="1" applyAlignment="1">
      <alignment horizontal="center"/>
      <protection/>
    </xf>
    <xf numFmtId="3" fontId="31" fillId="0" borderId="25" xfId="19" applyNumberFormat="1" applyFont="1" applyFill="1" applyBorder="1" applyAlignment="1">
      <alignment horizontal="center"/>
      <protection/>
    </xf>
    <xf numFmtId="3" fontId="31" fillId="0" borderId="26" xfId="19" applyNumberFormat="1" applyFont="1" applyFill="1" applyBorder="1" applyAlignment="1">
      <alignment horizontal="center"/>
      <protection/>
    </xf>
    <xf numFmtId="0" fontId="31" fillId="0" borderId="18" xfId="19" applyFont="1" applyFill="1" applyBorder="1" applyAlignment="1">
      <alignment horizontal="center" vertical="center"/>
      <protection/>
    </xf>
    <xf numFmtId="0" fontId="31" fillId="0" borderId="27" xfId="19" applyFont="1" applyFill="1" applyBorder="1" applyAlignment="1">
      <alignment horizontal="left" vertical="center"/>
      <protection/>
    </xf>
    <xf numFmtId="0" fontId="0" fillId="0" borderId="54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31" fillId="0" borderId="24" xfId="19" applyFont="1" applyFill="1" applyBorder="1" applyAlignment="1">
      <alignment horizontal="center" vertical="center"/>
      <protection/>
    </xf>
    <xf numFmtId="0" fontId="31" fillId="0" borderId="25" xfId="19" applyFont="1" applyFill="1" applyBorder="1" applyAlignment="1">
      <alignment horizontal="center" vertical="center"/>
      <protection/>
    </xf>
    <xf numFmtId="0" fontId="31" fillId="0" borderId="26" xfId="19" applyFont="1" applyFill="1" applyBorder="1" applyAlignment="1">
      <alignment horizontal="center" vertical="center"/>
      <protection/>
    </xf>
    <xf numFmtId="0" fontId="31" fillId="0" borderId="24" xfId="19" applyFont="1" applyFill="1" applyBorder="1" applyAlignment="1">
      <alignment horizontal="center" vertical="center" wrapText="1"/>
      <protection/>
    </xf>
    <xf numFmtId="0" fontId="31" fillId="0" borderId="25" xfId="19" applyFont="1" applyFill="1" applyBorder="1" applyAlignment="1">
      <alignment horizontal="center" vertical="center" wrapText="1"/>
      <protection/>
    </xf>
    <xf numFmtId="0" fontId="31" fillId="0" borderId="26" xfId="19" applyFont="1" applyFill="1" applyBorder="1" applyAlignment="1">
      <alignment horizontal="center" vertical="center" wrapText="1"/>
      <protection/>
    </xf>
    <xf numFmtId="0" fontId="31" fillId="0" borderId="24" xfId="19" applyFont="1" applyBorder="1" applyAlignment="1">
      <alignment horizontal="center" vertical="center"/>
      <protection/>
    </xf>
    <xf numFmtId="0" fontId="31" fillId="0" borderId="25" xfId="19" applyFont="1" applyBorder="1" applyAlignment="1">
      <alignment horizontal="center" vertical="center"/>
      <protection/>
    </xf>
    <xf numFmtId="0" fontId="31" fillId="0" borderId="26" xfId="19" applyFont="1" applyBorder="1" applyAlignment="1">
      <alignment horizontal="center" vertical="center"/>
      <protection/>
    </xf>
    <xf numFmtId="0" fontId="29" fillId="0" borderId="18" xfId="19" applyFont="1" applyBorder="1" applyAlignment="1">
      <alignment horizontal="center"/>
      <protection/>
    </xf>
    <xf numFmtId="0" fontId="31" fillId="0" borderId="18" xfId="19" applyFont="1" applyBorder="1" applyAlignment="1">
      <alignment horizontal="left" vertical="center"/>
      <protection/>
    </xf>
    <xf numFmtId="0" fontId="0" fillId="0" borderId="18" xfId="0" applyFont="1" applyBorder="1" applyAlignment="1">
      <alignment horizontal="left" vertical="center"/>
    </xf>
    <xf numFmtId="0" fontId="31" fillId="0" borderId="27" xfId="19" applyFont="1" applyBorder="1" applyAlignment="1">
      <alignment horizontal="left" vertical="center"/>
      <protection/>
    </xf>
    <xf numFmtId="0" fontId="0" fillId="0" borderId="5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31" fillId="0" borderId="24" xfId="19" applyFont="1" applyBorder="1" applyAlignment="1">
      <alignment horizontal="center" vertical="center"/>
      <protection/>
    </xf>
    <xf numFmtId="0" fontId="31" fillId="0" borderId="25" xfId="19" applyFont="1" applyBorder="1" applyAlignment="1">
      <alignment horizontal="center" vertical="center"/>
      <protection/>
    </xf>
    <xf numFmtId="0" fontId="31" fillId="0" borderId="26" xfId="19" applyFont="1" applyBorder="1" applyAlignment="1">
      <alignment horizontal="center" vertical="center"/>
      <protection/>
    </xf>
    <xf numFmtId="0" fontId="0" fillId="0" borderId="18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1" fillId="0" borderId="24" xfId="19" applyFont="1" applyBorder="1" applyAlignment="1">
      <alignment horizontal="center" vertical="center" wrapText="1"/>
      <protection/>
    </xf>
    <xf numFmtId="0" fontId="31" fillId="0" borderId="25" xfId="19" applyFont="1" applyBorder="1" applyAlignment="1">
      <alignment horizontal="center" vertical="center" wrapText="1"/>
      <protection/>
    </xf>
    <xf numFmtId="0" fontId="31" fillId="0" borderId="26" xfId="19" applyFont="1" applyBorder="1" applyAlignment="1">
      <alignment horizontal="center" vertical="center" wrapText="1"/>
      <protection/>
    </xf>
    <xf numFmtId="0" fontId="31" fillId="0" borderId="18" xfId="19" applyFont="1" applyBorder="1" applyAlignment="1">
      <alignment horizontal="center"/>
      <protection/>
    </xf>
    <xf numFmtId="0" fontId="31" fillId="0" borderId="16" xfId="19" applyFont="1" applyBorder="1" applyAlignment="1">
      <alignment horizontal="center"/>
      <protection/>
    </xf>
    <xf numFmtId="0" fontId="31" fillId="0" borderId="11" xfId="19" applyFont="1" applyBorder="1" applyAlignment="1">
      <alignment horizontal="center"/>
      <protection/>
    </xf>
    <xf numFmtId="0" fontId="31" fillId="0" borderId="0" xfId="19" applyFont="1" applyAlignment="1">
      <alignment horizontal="left"/>
      <protection/>
    </xf>
    <xf numFmtId="0" fontId="31" fillId="0" borderId="24" xfId="19" applyFont="1" applyBorder="1" applyAlignment="1">
      <alignment horizontal="center" vertical="center" wrapText="1"/>
      <protection/>
    </xf>
    <xf numFmtId="0" fontId="31" fillId="0" borderId="25" xfId="19" applyFont="1" applyBorder="1" applyAlignment="1">
      <alignment horizontal="center" vertical="center" wrapText="1"/>
      <protection/>
    </xf>
    <xf numFmtId="0" fontId="31" fillId="0" borderId="26" xfId="19" applyFont="1" applyBorder="1" applyAlignment="1">
      <alignment horizontal="center" vertical="center" wrapText="1"/>
      <protection/>
    </xf>
    <xf numFmtId="0" fontId="29" fillId="0" borderId="0" xfId="19" applyFont="1" applyAlignment="1">
      <alignment horizontal="center"/>
      <protection/>
    </xf>
    <xf numFmtId="0" fontId="31" fillId="0" borderId="18" xfId="19" applyFont="1" applyBorder="1" applyAlignment="1">
      <alignment horizontal="center" vertical="center"/>
      <protection/>
    </xf>
    <xf numFmtId="0" fontId="31" fillId="0" borderId="18" xfId="19" applyFont="1" applyBorder="1" applyAlignment="1">
      <alignment horizontal="center" vertical="center" wrapText="1"/>
      <protection/>
    </xf>
    <xf numFmtId="0" fontId="31" fillId="0" borderId="18" xfId="19" applyFont="1" applyFill="1" applyBorder="1" applyAlignment="1">
      <alignment horizontal="left" vertical="center"/>
      <protection/>
    </xf>
    <xf numFmtId="0" fontId="0" fillId="0" borderId="18" xfId="0" applyFont="1" applyFill="1" applyBorder="1" applyAlignment="1">
      <alignment horizontal="left" vertical="center"/>
    </xf>
    <xf numFmtId="0" fontId="31" fillId="0" borderId="16" xfId="19" applyFont="1" applyBorder="1" applyAlignment="1">
      <alignment horizontal="left" vertical="center" wrapText="1"/>
      <protection/>
    </xf>
    <xf numFmtId="0" fontId="0" fillId="0" borderId="4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3" fontId="35" fillId="0" borderId="24" xfId="19" applyNumberFormat="1" applyFont="1" applyBorder="1" applyAlignment="1">
      <alignment horizontal="center"/>
      <protection/>
    </xf>
    <xf numFmtId="3" fontId="35" fillId="0" borderId="25" xfId="19" applyNumberFormat="1" applyFont="1" applyBorder="1" applyAlignment="1">
      <alignment horizontal="center"/>
      <protection/>
    </xf>
    <xf numFmtId="3" fontId="35" fillId="0" borderId="26" xfId="19" applyNumberFormat="1" applyFont="1" applyBorder="1" applyAlignment="1">
      <alignment horizontal="center"/>
      <protection/>
    </xf>
    <xf numFmtId="3" fontId="31" fillId="0" borderId="24" xfId="19" applyNumberFormat="1" applyFont="1" applyBorder="1" applyAlignment="1">
      <alignment horizontal="center"/>
      <protection/>
    </xf>
    <xf numFmtId="3" fontId="31" fillId="0" borderId="25" xfId="19" applyNumberFormat="1" applyFont="1" applyBorder="1" applyAlignment="1">
      <alignment horizontal="center"/>
      <protection/>
    </xf>
    <xf numFmtId="3" fontId="31" fillId="0" borderId="26" xfId="19" applyNumberFormat="1" applyFont="1" applyBorder="1" applyAlignment="1">
      <alignment horizontal="center"/>
      <protection/>
    </xf>
    <xf numFmtId="0" fontId="3" fillId="0" borderId="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5" fillId="0" borderId="26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4" fontId="5" fillId="0" borderId="24" xfId="0" applyNumberFormat="1" applyFont="1" applyBorder="1" applyAlignment="1">
      <alignment horizontal="right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0" fontId="13" fillId="0" borderId="41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6" fillId="2" borderId="6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Hyperlink" xfId="17"/>
    <cellStyle name="Normalny_Arkusz2" xfId="18"/>
    <cellStyle name="Normalny_zal_Szczecin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" name="Line 1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3" name="Line 1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" name="Line 1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5" name="Line 1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6" name="Line 1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" name="Line 1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9" name="Line 1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20" name="Line 2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21" name="Line 2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22" name="Line 2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23" name="Line 2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24" name="Line 2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5" name="Line 25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6" name="Line 26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7" name="Line 27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8" name="Line 28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9" name="Line 29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30" name="Line 30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31" name="Line 31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32" name="Line 32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33" name="Line 33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4" name="Line 3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5" name="Line 3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6" name="Line 3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7" name="Line 3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8" name="Line 3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9" name="Line 3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0" name="Line 4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1" name="Line 4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2" name="Line 4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3" name="Line 4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4" name="Line 4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5" name="Line 4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6" name="Line 4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7" name="Line 4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8" name="Line 4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9" name="Line 4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0" name="Line 5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1" name="Line 5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2" name="Line 5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3" name="Line 5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4" name="Line 5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5" name="Line 5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6" name="Line 5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7" name="Line 5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8" name="Line 5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9" name="Line 5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0" name="Line 6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1" name="Line 6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2" name="Line 6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3" name="Line 6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4" name="Line 64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5" name="Line 65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6" name="Line 66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7" name="Line 67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8" name="Line 68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9" name="Line 69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0" name="Line 7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1" name="Line 7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2" name="Line 7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3" name="Line 7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4" name="Line 7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5" name="Line 7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6" name="Line 7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7" name="Line 7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78" name="Line 78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79" name="Line 79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80" name="Line 80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81" name="Line 81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82" name="Line 82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83" name="Line 83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84" name="Line 84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85" name="Line 85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6" name="Line 8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7" name="Line 8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8" name="Line 8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9" name="Line 8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0" name="Line 9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1" name="Line 9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2" name="Line 9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3" name="Line 9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4" name="Line 9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5" name="Line 9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6" name="Line 9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7" name="Line 9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8" name="Line 9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9" name="Line 9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0" name="Line 10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1" name="Line 10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2" name="Line 10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3" name="Line 10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4" name="Line 10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5" name="Line 10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6" name="Line 10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8" name="Line 10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9" name="Line 10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10" name="Line 110"/>
        <xdr:cNvSpPr>
          <a:spLocks/>
        </xdr:cNvSpPr>
      </xdr:nvSpPr>
      <xdr:spPr>
        <a:xfrm>
          <a:off x="4029075" y="437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11" name="Line 111"/>
        <xdr:cNvSpPr>
          <a:spLocks/>
        </xdr:cNvSpPr>
      </xdr:nvSpPr>
      <xdr:spPr>
        <a:xfrm>
          <a:off x="4029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12" name="Line 112"/>
        <xdr:cNvSpPr>
          <a:spLocks/>
        </xdr:cNvSpPr>
      </xdr:nvSpPr>
      <xdr:spPr>
        <a:xfrm>
          <a:off x="4029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3" name="Line 113"/>
        <xdr:cNvSpPr>
          <a:spLocks/>
        </xdr:cNvSpPr>
      </xdr:nvSpPr>
      <xdr:spPr>
        <a:xfrm>
          <a:off x="40290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4" name="Line 114"/>
        <xdr:cNvSpPr>
          <a:spLocks/>
        </xdr:cNvSpPr>
      </xdr:nvSpPr>
      <xdr:spPr>
        <a:xfrm>
          <a:off x="40290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161925</xdr:rowOff>
    </xdr:from>
    <xdr:to>
      <xdr:col>4</xdr:col>
      <xdr:colOff>0</xdr:colOff>
      <xdr:row>27</xdr:row>
      <xdr:rowOff>161925</xdr:rowOff>
    </xdr:to>
    <xdr:sp>
      <xdr:nvSpPr>
        <xdr:cNvPr id="115" name="Line 115"/>
        <xdr:cNvSpPr>
          <a:spLocks/>
        </xdr:cNvSpPr>
      </xdr:nvSpPr>
      <xdr:spPr>
        <a:xfrm>
          <a:off x="4029075" y="75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116" name="Line 116"/>
        <xdr:cNvSpPr>
          <a:spLocks/>
        </xdr:cNvSpPr>
      </xdr:nvSpPr>
      <xdr:spPr>
        <a:xfrm>
          <a:off x="402907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117" name="Line 117"/>
        <xdr:cNvSpPr>
          <a:spLocks/>
        </xdr:cNvSpPr>
      </xdr:nvSpPr>
      <xdr:spPr>
        <a:xfrm>
          <a:off x="402907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118" name="Line 118"/>
        <xdr:cNvSpPr>
          <a:spLocks/>
        </xdr:cNvSpPr>
      </xdr:nvSpPr>
      <xdr:spPr>
        <a:xfrm>
          <a:off x="4029075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119" name="Line 119"/>
        <xdr:cNvSpPr>
          <a:spLocks/>
        </xdr:cNvSpPr>
      </xdr:nvSpPr>
      <xdr:spPr>
        <a:xfrm>
          <a:off x="4029075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333375</xdr:rowOff>
    </xdr:from>
    <xdr:to>
      <xdr:col>4</xdr:col>
      <xdr:colOff>0</xdr:colOff>
      <xdr:row>35</xdr:row>
      <xdr:rowOff>333375</xdr:rowOff>
    </xdr:to>
    <xdr:sp>
      <xdr:nvSpPr>
        <xdr:cNvPr id="120" name="Line 120"/>
        <xdr:cNvSpPr>
          <a:spLocks/>
        </xdr:cNvSpPr>
      </xdr:nvSpPr>
      <xdr:spPr>
        <a:xfrm>
          <a:off x="402907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333375</xdr:rowOff>
    </xdr:from>
    <xdr:to>
      <xdr:col>4</xdr:col>
      <xdr:colOff>0</xdr:colOff>
      <xdr:row>35</xdr:row>
      <xdr:rowOff>333375</xdr:rowOff>
    </xdr:to>
    <xdr:sp>
      <xdr:nvSpPr>
        <xdr:cNvPr id="121" name="Line 121"/>
        <xdr:cNvSpPr>
          <a:spLocks/>
        </xdr:cNvSpPr>
      </xdr:nvSpPr>
      <xdr:spPr>
        <a:xfrm>
          <a:off x="402907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161925</xdr:rowOff>
    </xdr:from>
    <xdr:to>
      <xdr:col>4</xdr:col>
      <xdr:colOff>0</xdr:colOff>
      <xdr:row>53</xdr:row>
      <xdr:rowOff>161925</xdr:rowOff>
    </xdr:to>
    <xdr:sp>
      <xdr:nvSpPr>
        <xdr:cNvPr id="122" name="Line 122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123" name="Line 123"/>
        <xdr:cNvSpPr>
          <a:spLocks/>
        </xdr:cNvSpPr>
      </xdr:nvSpPr>
      <xdr:spPr>
        <a:xfrm>
          <a:off x="402907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124" name="Line 124"/>
        <xdr:cNvSpPr>
          <a:spLocks/>
        </xdr:cNvSpPr>
      </xdr:nvSpPr>
      <xdr:spPr>
        <a:xfrm>
          <a:off x="402907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25" name="Line 125"/>
        <xdr:cNvSpPr>
          <a:spLocks/>
        </xdr:cNvSpPr>
      </xdr:nvSpPr>
      <xdr:spPr>
        <a:xfrm>
          <a:off x="4029075" y="1563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26" name="Line 126"/>
        <xdr:cNvSpPr>
          <a:spLocks/>
        </xdr:cNvSpPr>
      </xdr:nvSpPr>
      <xdr:spPr>
        <a:xfrm>
          <a:off x="4029075" y="1563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333375</xdr:rowOff>
    </xdr:from>
    <xdr:to>
      <xdr:col>4</xdr:col>
      <xdr:colOff>0</xdr:colOff>
      <xdr:row>59</xdr:row>
      <xdr:rowOff>333375</xdr:rowOff>
    </xdr:to>
    <xdr:sp>
      <xdr:nvSpPr>
        <xdr:cNvPr id="127" name="Line 127"/>
        <xdr:cNvSpPr>
          <a:spLocks/>
        </xdr:cNvSpPr>
      </xdr:nvSpPr>
      <xdr:spPr>
        <a:xfrm>
          <a:off x="4029075" y="1645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333375</xdr:rowOff>
    </xdr:from>
    <xdr:to>
      <xdr:col>4</xdr:col>
      <xdr:colOff>0</xdr:colOff>
      <xdr:row>59</xdr:row>
      <xdr:rowOff>333375</xdr:rowOff>
    </xdr:to>
    <xdr:sp>
      <xdr:nvSpPr>
        <xdr:cNvPr id="128" name="Line 128"/>
        <xdr:cNvSpPr>
          <a:spLocks/>
        </xdr:cNvSpPr>
      </xdr:nvSpPr>
      <xdr:spPr>
        <a:xfrm>
          <a:off x="4029075" y="1645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228600</xdr:rowOff>
    </xdr:from>
    <xdr:to>
      <xdr:col>4</xdr:col>
      <xdr:colOff>0</xdr:colOff>
      <xdr:row>68</xdr:row>
      <xdr:rowOff>228600</xdr:rowOff>
    </xdr:to>
    <xdr:sp>
      <xdr:nvSpPr>
        <xdr:cNvPr id="129" name="Line 129"/>
        <xdr:cNvSpPr>
          <a:spLocks/>
        </xdr:cNvSpPr>
      </xdr:nvSpPr>
      <xdr:spPr>
        <a:xfrm>
          <a:off x="4029075" y="1887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30" name="Line 130"/>
        <xdr:cNvSpPr>
          <a:spLocks/>
        </xdr:cNvSpPr>
      </xdr:nvSpPr>
      <xdr:spPr>
        <a:xfrm>
          <a:off x="4029075" y="1900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31" name="Line 131"/>
        <xdr:cNvSpPr>
          <a:spLocks/>
        </xdr:cNvSpPr>
      </xdr:nvSpPr>
      <xdr:spPr>
        <a:xfrm>
          <a:off x="4029075" y="1900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02907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33" name="Line 133"/>
        <xdr:cNvSpPr>
          <a:spLocks/>
        </xdr:cNvSpPr>
      </xdr:nvSpPr>
      <xdr:spPr>
        <a:xfrm>
          <a:off x="402907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35" name="Line 13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36" name="Line 13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37" name="Line 13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38" name="Line 13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39" name="Line 13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0" name="Line 14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1" name="Line 14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2" name="Line 14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3" name="Line 14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4" name="Line 14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5" name="Line 14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6" name="Line 14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7" name="Line 14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8" name="Line 14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9" name="Line 14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50" name="Line 15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51" name="Line 151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52" name="Line 152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3" name="Line 15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4" name="Line 15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5" name="Line 15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6" name="Line 15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7" name="Line 15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8" name="Line 15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9" name="Line 15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0" name="Line 16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1" name="Line 16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2" name="Line 16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3" name="Line 16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4" name="Line 16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5" name="Line 16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6" name="Line 16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7" name="Line 16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168" name="Line 168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169" name="Line 169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70" name="Line 170"/>
        <xdr:cNvSpPr>
          <a:spLocks/>
        </xdr:cNvSpPr>
      </xdr:nvSpPr>
      <xdr:spPr>
        <a:xfrm>
          <a:off x="40290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71" name="Line 171"/>
        <xdr:cNvSpPr>
          <a:spLocks/>
        </xdr:cNvSpPr>
      </xdr:nvSpPr>
      <xdr:spPr>
        <a:xfrm>
          <a:off x="40290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72" name="Line 172"/>
        <xdr:cNvSpPr>
          <a:spLocks/>
        </xdr:cNvSpPr>
      </xdr:nvSpPr>
      <xdr:spPr>
        <a:xfrm>
          <a:off x="4029075" y="3271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73" name="Line 173"/>
        <xdr:cNvSpPr>
          <a:spLocks/>
        </xdr:cNvSpPr>
      </xdr:nvSpPr>
      <xdr:spPr>
        <a:xfrm>
          <a:off x="4029075" y="3271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4" name="Line 17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5" name="Line 17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6" name="Line 17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7" name="Line 17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78" name="Line 178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9" name="Line 179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0" name="Line 180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1" name="Line 181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2" name="Line 182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3" name="Line 183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4" name="Line 184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5" name="Line 185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6" name="Line 186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7" name="Line 187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8" name="Line 188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89" name="Line 18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90" name="Line 19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92" name="Line 19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93" name="Line 19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94" name="Line 19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95" name="Line 195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96" name="Line 19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97" name="Line 19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98" name="Line 19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99" name="Line 19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200" name="Line 20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201" name="Line 20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208" name="Line 208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209" name="Line 209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210" name="Line 210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11" name="Line 21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12" name="Line 21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13" name="Line 21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14" name="Line 21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15" name="Line 21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16" name="Line 21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17" name="Line 21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18" name="Line 21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19" name="Line 21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20" name="Line 22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21" name="Line 22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22" name="Line 22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23" name="Line 22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24" name="Line 22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25" name="Line 22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26" name="Line 22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27" name="Line 22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28" name="Line 22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30" name="Line 23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31" name="Line 23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32" name="Line 23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33" name="Line 23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34" name="Line 23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35" name="Line 23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36" name="Line 23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37" name="Line 23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38" name="Line 23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39" name="Line 23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40" name="Line 24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1" name="Line 241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2" name="Line 242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3" name="Line 243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4" name="Line 244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5" name="Line 245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6" name="Line 246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247" name="Line 24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248" name="Line 24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249" name="Line 24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250" name="Line 25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251" name="Line 25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252" name="Line 25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253" name="Line 25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254" name="Line 25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58" name="Line 258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59" name="Line 259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260" name="Line 260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261" name="Line 261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262" name="Line 262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63" name="Line 26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64" name="Line 26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65" name="Line 26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66" name="Line 26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67" name="Line 26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68" name="Line 26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69" name="Line 26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70" name="Line 27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71" name="Line 27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72" name="Line 27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73" name="Line 27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74" name="Line 27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76" name="Line 27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77" name="Line 27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78" name="Line 27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79" name="Line 27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80" name="Line 28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81" name="Line 28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82" name="Line 28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83" name="Line 28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84" name="Line 28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85" name="Line 28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286" name="Line 28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287" name="Line 287"/>
        <xdr:cNvSpPr>
          <a:spLocks/>
        </xdr:cNvSpPr>
      </xdr:nvSpPr>
      <xdr:spPr>
        <a:xfrm>
          <a:off x="4029075" y="437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288" name="Line 288"/>
        <xdr:cNvSpPr>
          <a:spLocks/>
        </xdr:cNvSpPr>
      </xdr:nvSpPr>
      <xdr:spPr>
        <a:xfrm>
          <a:off x="4029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289" name="Line 289"/>
        <xdr:cNvSpPr>
          <a:spLocks/>
        </xdr:cNvSpPr>
      </xdr:nvSpPr>
      <xdr:spPr>
        <a:xfrm>
          <a:off x="4029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290" name="Line 290"/>
        <xdr:cNvSpPr>
          <a:spLocks/>
        </xdr:cNvSpPr>
      </xdr:nvSpPr>
      <xdr:spPr>
        <a:xfrm>
          <a:off x="40290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291" name="Line 291"/>
        <xdr:cNvSpPr>
          <a:spLocks/>
        </xdr:cNvSpPr>
      </xdr:nvSpPr>
      <xdr:spPr>
        <a:xfrm>
          <a:off x="40290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161925</xdr:rowOff>
    </xdr:from>
    <xdr:to>
      <xdr:col>4</xdr:col>
      <xdr:colOff>0</xdr:colOff>
      <xdr:row>27</xdr:row>
      <xdr:rowOff>161925</xdr:rowOff>
    </xdr:to>
    <xdr:sp>
      <xdr:nvSpPr>
        <xdr:cNvPr id="292" name="Line 292"/>
        <xdr:cNvSpPr>
          <a:spLocks/>
        </xdr:cNvSpPr>
      </xdr:nvSpPr>
      <xdr:spPr>
        <a:xfrm>
          <a:off x="4029075" y="75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293" name="Line 293"/>
        <xdr:cNvSpPr>
          <a:spLocks/>
        </xdr:cNvSpPr>
      </xdr:nvSpPr>
      <xdr:spPr>
        <a:xfrm>
          <a:off x="402907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294" name="Line 294"/>
        <xdr:cNvSpPr>
          <a:spLocks/>
        </xdr:cNvSpPr>
      </xdr:nvSpPr>
      <xdr:spPr>
        <a:xfrm>
          <a:off x="402907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295" name="Line 295"/>
        <xdr:cNvSpPr>
          <a:spLocks/>
        </xdr:cNvSpPr>
      </xdr:nvSpPr>
      <xdr:spPr>
        <a:xfrm>
          <a:off x="4029075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296" name="Line 296"/>
        <xdr:cNvSpPr>
          <a:spLocks/>
        </xdr:cNvSpPr>
      </xdr:nvSpPr>
      <xdr:spPr>
        <a:xfrm>
          <a:off x="4029075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333375</xdr:rowOff>
    </xdr:from>
    <xdr:to>
      <xdr:col>4</xdr:col>
      <xdr:colOff>0</xdr:colOff>
      <xdr:row>35</xdr:row>
      <xdr:rowOff>333375</xdr:rowOff>
    </xdr:to>
    <xdr:sp>
      <xdr:nvSpPr>
        <xdr:cNvPr id="297" name="Line 297"/>
        <xdr:cNvSpPr>
          <a:spLocks/>
        </xdr:cNvSpPr>
      </xdr:nvSpPr>
      <xdr:spPr>
        <a:xfrm>
          <a:off x="402907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333375</xdr:rowOff>
    </xdr:from>
    <xdr:to>
      <xdr:col>4</xdr:col>
      <xdr:colOff>0</xdr:colOff>
      <xdr:row>35</xdr:row>
      <xdr:rowOff>333375</xdr:rowOff>
    </xdr:to>
    <xdr:sp>
      <xdr:nvSpPr>
        <xdr:cNvPr id="298" name="Line 298"/>
        <xdr:cNvSpPr>
          <a:spLocks/>
        </xdr:cNvSpPr>
      </xdr:nvSpPr>
      <xdr:spPr>
        <a:xfrm>
          <a:off x="402907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161925</xdr:rowOff>
    </xdr:from>
    <xdr:to>
      <xdr:col>4</xdr:col>
      <xdr:colOff>0</xdr:colOff>
      <xdr:row>53</xdr:row>
      <xdr:rowOff>161925</xdr:rowOff>
    </xdr:to>
    <xdr:sp>
      <xdr:nvSpPr>
        <xdr:cNvPr id="299" name="Line 299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300" name="Line 300"/>
        <xdr:cNvSpPr>
          <a:spLocks/>
        </xdr:cNvSpPr>
      </xdr:nvSpPr>
      <xdr:spPr>
        <a:xfrm>
          <a:off x="402907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301" name="Line 301"/>
        <xdr:cNvSpPr>
          <a:spLocks/>
        </xdr:cNvSpPr>
      </xdr:nvSpPr>
      <xdr:spPr>
        <a:xfrm>
          <a:off x="402907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302" name="Line 302"/>
        <xdr:cNvSpPr>
          <a:spLocks/>
        </xdr:cNvSpPr>
      </xdr:nvSpPr>
      <xdr:spPr>
        <a:xfrm>
          <a:off x="4029075" y="1563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303" name="Line 303"/>
        <xdr:cNvSpPr>
          <a:spLocks/>
        </xdr:cNvSpPr>
      </xdr:nvSpPr>
      <xdr:spPr>
        <a:xfrm>
          <a:off x="4029075" y="1563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333375</xdr:rowOff>
    </xdr:from>
    <xdr:to>
      <xdr:col>4</xdr:col>
      <xdr:colOff>0</xdr:colOff>
      <xdr:row>59</xdr:row>
      <xdr:rowOff>333375</xdr:rowOff>
    </xdr:to>
    <xdr:sp>
      <xdr:nvSpPr>
        <xdr:cNvPr id="304" name="Line 304"/>
        <xdr:cNvSpPr>
          <a:spLocks/>
        </xdr:cNvSpPr>
      </xdr:nvSpPr>
      <xdr:spPr>
        <a:xfrm>
          <a:off x="4029075" y="1645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333375</xdr:rowOff>
    </xdr:from>
    <xdr:to>
      <xdr:col>4</xdr:col>
      <xdr:colOff>0</xdr:colOff>
      <xdr:row>59</xdr:row>
      <xdr:rowOff>333375</xdr:rowOff>
    </xdr:to>
    <xdr:sp>
      <xdr:nvSpPr>
        <xdr:cNvPr id="305" name="Line 305"/>
        <xdr:cNvSpPr>
          <a:spLocks/>
        </xdr:cNvSpPr>
      </xdr:nvSpPr>
      <xdr:spPr>
        <a:xfrm>
          <a:off x="4029075" y="1645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228600</xdr:rowOff>
    </xdr:from>
    <xdr:to>
      <xdr:col>4</xdr:col>
      <xdr:colOff>0</xdr:colOff>
      <xdr:row>68</xdr:row>
      <xdr:rowOff>228600</xdr:rowOff>
    </xdr:to>
    <xdr:sp>
      <xdr:nvSpPr>
        <xdr:cNvPr id="306" name="Line 306"/>
        <xdr:cNvSpPr>
          <a:spLocks/>
        </xdr:cNvSpPr>
      </xdr:nvSpPr>
      <xdr:spPr>
        <a:xfrm>
          <a:off x="4029075" y="1887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07" name="Line 307"/>
        <xdr:cNvSpPr>
          <a:spLocks/>
        </xdr:cNvSpPr>
      </xdr:nvSpPr>
      <xdr:spPr>
        <a:xfrm>
          <a:off x="4029075" y="1900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08" name="Line 308"/>
        <xdr:cNvSpPr>
          <a:spLocks/>
        </xdr:cNvSpPr>
      </xdr:nvSpPr>
      <xdr:spPr>
        <a:xfrm>
          <a:off x="4029075" y="1900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09" name="Line 309"/>
        <xdr:cNvSpPr>
          <a:spLocks/>
        </xdr:cNvSpPr>
      </xdr:nvSpPr>
      <xdr:spPr>
        <a:xfrm>
          <a:off x="402907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10" name="Line 310"/>
        <xdr:cNvSpPr>
          <a:spLocks/>
        </xdr:cNvSpPr>
      </xdr:nvSpPr>
      <xdr:spPr>
        <a:xfrm>
          <a:off x="402907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11" name="Line 31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12" name="Line 31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13" name="Line 31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14" name="Line 31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15" name="Line 31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16" name="Line 31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17" name="Line 31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18" name="Line 31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19" name="Line 31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20" name="Line 32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21" name="Line 32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22" name="Line 32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23" name="Line 32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24" name="Line 32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25" name="Line 32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26" name="Line 32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27" name="Line 32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328" name="Line 328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329" name="Line 329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30" name="Line 33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31" name="Line 33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32" name="Line 33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33" name="Line 33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34" name="Line 33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35" name="Line 33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36" name="Line 33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37" name="Line 33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38" name="Line 33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39" name="Line 33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40" name="Line 34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41" name="Line 34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42" name="Line 34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43" name="Line 34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44" name="Line 34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345" name="Line 345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346" name="Line 346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47" name="Line 347"/>
        <xdr:cNvSpPr>
          <a:spLocks/>
        </xdr:cNvSpPr>
      </xdr:nvSpPr>
      <xdr:spPr>
        <a:xfrm>
          <a:off x="40290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48" name="Line 348"/>
        <xdr:cNvSpPr>
          <a:spLocks/>
        </xdr:cNvSpPr>
      </xdr:nvSpPr>
      <xdr:spPr>
        <a:xfrm>
          <a:off x="40290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349" name="Line 349"/>
        <xdr:cNvSpPr>
          <a:spLocks/>
        </xdr:cNvSpPr>
      </xdr:nvSpPr>
      <xdr:spPr>
        <a:xfrm>
          <a:off x="4029075" y="3271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350" name="Line 350"/>
        <xdr:cNvSpPr>
          <a:spLocks/>
        </xdr:cNvSpPr>
      </xdr:nvSpPr>
      <xdr:spPr>
        <a:xfrm>
          <a:off x="4029075" y="3271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51" name="Line 35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52" name="Line 35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53" name="Line 35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54" name="Line 35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355" name="Line 355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6" name="Line 356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7" name="Line 357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8" name="Line 358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9" name="Line 359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0" name="Line 360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1" name="Line 361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2" name="Line 362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3" name="Line 363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4" name="Line 364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5" name="Line 365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66" name="Line 36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67" name="Line 36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68" name="Line 36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69" name="Line 36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70" name="Line 37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71" name="Line 37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72" name="Line 372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73" name="Line 37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74" name="Line 37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75" name="Line 37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76" name="Line 37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77" name="Line 37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78" name="Line 37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379" name="Line 379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380" name="Line 380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381" name="Line 381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382" name="Line 382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383" name="Line 383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384" name="Line 384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385" name="Line 385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386" name="Line 386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387" name="Line 387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88" name="Line 38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89" name="Line 38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90" name="Line 39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91" name="Line 39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92" name="Line 39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93" name="Line 39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94" name="Line 39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95" name="Line 39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96" name="Line 39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97" name="Line 39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98" name="Line 39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99" name="Line 39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00" name="Line 40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01" name="Line 40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02" name="Line 40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03" name="Line 40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04" name="Line 40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05" name="Line 40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06" name="Line 40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07" name="Line 40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08" name="Line 40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09" name="Line 40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10" name="Line 41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11" name="Line 41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12" name="Line 41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13" name="Line 41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14" name="Line 41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15" name="Line 41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16" name="Line 41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17" name="Line 41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8" name="Line 418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9" name="Line 419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0" name="Line 420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1" name="Line 421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2" name="Line 422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3" name="Line 423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24" name="Line 42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25" name="Line 42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26" name="Line 42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27" name="Line 42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28" name="Line 42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29" name="Line 42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30" name="Line 43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31" name="Line 43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432" name="Line 432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433" name="Line 433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434" name="Line 434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435" name="Line 435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436" name="Line 436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437" name="Line 437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438" name="Line 438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439" name="Line 439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40" name="Line 44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41" name="Line 44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42" name="Line 44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43" name="Line 44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44" name="Line 44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45" name="Line 44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46" name="Line 44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47" name="Line 44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48" name="Line 44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49" name="Line 44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50" name="Line 45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51" name="Line 45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52" name="Line 45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53" name="Line 45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54" name="Line 45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55" name="Line 45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56" name="Line 45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57" name="Line 45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58" name="Line 45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59" name="Line 45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60" name="Line 46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61" name="Line 46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62" name="Line 46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463" name="Line 46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135</xdr:row>
      <xdr:rowOff>0</xdr:rowOff>
    </xdr:from>
    <xdr:to>
      <xdr:col>1</xdr:col>
      <xdr:colOff>466725</xdr:colOff>
      <xdr:row>135</xdr:row>
      <xdr:rowOff>0</xdr:rowOff>
    </xdr:to>
    <xdr:sp>
      <xdr:nvSpPr>
        <xdr:cNvPr id="464" name="Line 464"/>
        <xdr:cNvSpPr>
          <a:spLocks/>
        </xdr:cNvSpPr>
      </xdr:nvSpPr>
      <xdr:spPr>
        <a:xfrm>
          <a:off x="733425" y="36928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135</xdr:row>
      <xdr:rowOff>0</xdr:rowOff>
    </xdr:from>
    <xdr:to>
      <xdr:col>1</xdr:col>
      <xdr:colOff>466725</xdr:colOff>
      <xdr:row>135</xdr:row>
      <xdr:rowOff>0</xdr:rowOff>
    </xdr:to>
    <xdr:sp>
      <xdr:nvSpPr>
        <xdr:cNvPr id="465" name="Line 465"/>
        <xdr:cNvSpPr>
          <a:spLocks/>
        </xdr:cNvSpPr>
      </xdr:nvSpPr>
      <xdr:spPr>
        <a:xfrm>
          <a:off x="733425" y="36928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135</xdr:row>
      <xdr:rowOff>0</xdr:rowOff>
    </xdr:from>
    <xdr:to>
      <xdr:col>1</xdr:col>
      <xdr:colOff>457200</xdr:colOff>
      <xdr:row>135</xdr:row>
      <xdr:rowOff>0</xdr:rowOff>
    </xdr:to>
    <xdr:sp>
      <xdr:nvSpPr>
        <xdr:cNvPr id="466" name="Line 466"/>
        <xdr:cNvSpPr>
          <a:spLocks/>
        </xdr:cNvSpPr>
      </xdr:nvSpPr>
      <xdr:spPr>
        <a:xfrm>
          <a:off x="723900" y="36928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467" name="Line 467"/>
        <xdr:cNvSpPr>
          <a:spLocks/>
        </xdr:cNvSpPr>
      </xdr:nvSpPr>
      <xdr:spPr>
        <a:xfrm>
          <a:off x="4029075" y="437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468" name="Line 468"/>
        <xdr:cNvSpPr>
          <a:spLocks/>
        </xdr:cNvSpPr>
      </xdr:nvSpPr>
      <xdr:spPr>
        <a:xfrm>
          <a:off x="4029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469" name="Line 469"/>
        <xdr:cNvSpPr>
          <a:spLocks/>
        </xdr:cNvSpPr>
      </xdr:nvSpPr>
      <xdr:spPr>
        <a:xfrm>
          <a:off x="4029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470" name="Line 470"/>
        <xdr:cNvSpPr>
          <a:spLocks/>
        </xdr:cNvSpPr>
      </xdr:nvSpPr>
      <xdr:spPr>
        <a:xfrm>
          <a:off x="40290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471" name="Line 471"/>
        <xdr:cNvSpPr>
          <a:spLocks/>
        </xdr:cNvSpPr>
      </xdr:nvSpPr>
      <xdr:spPr>
        <a:xfrm>
          <a:off x="40290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161925</xdr:rowOff>
    </xdr:from>
    <xdr:to>
      <xdr:col>4</xdr:col>
      <xdr:colOff>0</xdr:colOff>
      <xdr:row>27</xdr:row>
      <xdr:rowOff>161925</xdr:rowOff>
    </xdr:to>
    <xdr:sp>
      <xdr:nvSpPr>
        <xdr:cNvPr id="472" name="Line 472"/>
        <xdr:cNvSpPr>
          <a:spLocks/>
        </xdr:cNvSpPr>
      </xdr:nvSpPr>
      <xdr:spPr>
        <a:xfrm>
          <a:off x="4029075" y="75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473" name="Line 473"/>
        <xdr:cNvSpPr>
          <a:spLocks/>
        </xdr:cNvSpPr>
      </xdr:nvSpPr>
      <xdr:spPr>
        <a:xfrm>
          <a:off x="402907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474" name="Line 474"/>
        <xdr:cNvSpPr>
          <a:spLocks/>
        </xdr:cNvSpPr>
      </xdr:nvSpPr>
      <xdr:spPr>
        <a:xfrm>
          <a:off x="402907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475" name="Line 475"/>
        <xdr:cNvSpPr>
          <a:spLocks/>
        </xdr:cNvSpPr>
      </xdr:nvSpPr>
      <xdr:spPr>
        <a:xfrm>
          <a:off x="4029075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476" name="Line 476"/>
        <xdr:cNvSpPr>
          <a:spLocks/>
        </xdr:cNvSpPr>
      </xdr:nvSpPr>
      <xdr:spPr>
        <a:xfrm>
          <a:off x="4029075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333375</xdr:rowOff>
    </xdr:from>
    <xdr:to>
      <xdr:col>4</xdr:col>
      <xdr:colOff>0</xdr:colOff>
      <xdr:row>35</xdr:row>
      <xdr:rowOff>333375</xdr:rowOff>
    </xdr:to>
    <xdr:sp>
      <xdr:nvSpPr>
        <xdr:cNvPr id="477" name="Line 477"/>
        <xdr:cNvSpPr>
          <a:spLocks/>
        </xdr:cNvSpPr>
      </xdr:nvSpPr>
      <xdr:spPr>
        <a:xfrm>
          <a:off x="402907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333375</xdr:rowOff>
    </xdr:from>
    <xdr:to>
      <xdr:col>4</xdr:col>
      <xdr:colOff>0</xdr:colOff>
      <xdr:row>35</xdr:row>
      <xdr:rowOff>333375</xdr:rowOff>
    </xdr:to>
    <xdr:sp>
      <xdr:nvSpPr>
        <xdr:cNvPr id="478" name="Line 478"/>
        <xdr:cNvSpPr>
          <a:spLocks/>
        </xdr:cNvSpPr>
      </xdr:nvSpPr>
      <xdr:spPr>
        <a:xfrm>
          <a:off x="402907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161925</xdr:rowOff>
    </xdr:from>
    <xdr:to>
      <xdr:col>4</xdr:col>
      <xdr:colOff>0</xdr:colOff>
      <xdr:row>53</xdr:row>
      <xdr:rowOff>161925</xdr:rowOff>
    </xdr:to>
    <xdr:sp>
      <xdr:nvSpPr>
        <xdr:cNvPr id="479" name="Line 479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480" name="Line 480"/>
        <xdr:cNvSpPr>
          <a:spLocks/>
        </xdr:cNvSpPr>
      </xdr:nvSpPr>
      <xdr:spPr>
        <a:xfrm>
          <a:off x="402907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481" name="Line 481"/>
        <xdr:cNvSpPr>
          <a:spLocks/>
        </xdr:cNvSpPr>
      </xdr:nvSpPr>
      <xdr:spPr>
        <a:xfrm>
          <a:off x="402907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482" name="Line 482"/>
        <xdr:cNvSpPr>
          <a:spLocks/>
        </xdr:cNvSpPr>
      </xdr:nvSpPr>
      <xdr:spPr>
        <a:xfrm>
          <a:off x="4029075" y="1563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483" name="Line 483"/>
        <xdr:cNvSpPr>
          <a:spLocks/>
        </xdr:cNvSpPr>
      </xdr:nvSpPr>
      <xdr:spPr>
        <a:xfrm>
          <a:off x="4029075" y="1563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333375</xdr:rowOff>
    </xdr:from>
    <xdr:to>
      <xdr:col>4</xdr:col>
      <xdr:colOff>0</xdr:colOff>
      <xdr:row>59</xdr:row>
      <xdr:rowOff>333375</xdr:rowOff>
    </xdr:to>
    <xdr:sp>
      <xdr:nvSpPr>
        <xdr:cNvPr id="484" name="Line 484"/>
        <xdr:cNvSpPr>
          <a:spLocks/>
        </xdr:cNvSpPr>
      </xdr:nvSpPr>
      <xdr:spPr>
        <a:xfrm>
          <a:off x="4029075" y="1645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333375</xdr:rowOff>
    </xdr:from>
    <xdr:to>
      <xdr:col>4</xdr:col>
      <xdr:colOff>0</xdr:colOff>
      <xdr:row>59</xdr:row>
      <xdr:rowOff>333375</xdr:rowOff>
    </xdr:to>
    <xdr:sp>
      <xdr:nvSpPr>
        <xdr:cNvPr id="485" name="Line 485"/>
        <xdr:cNvSpPr>
          <a:spLocks/>
        </xdr:cNvSpPr>
      </xdr:nvSpPr>
      <xdr:spPr>
        <a:xfrm>
          <a:off x="4029075" y="1645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228600</xdr:rowOff>
    </xdr:from>
    <xdr:to>
      <xdr:col>4</xdr:col>
      <xdr:colOff>0</xdr:colOff>
      <xdr:row>68</xdr:row>
      <xdr:rowOff>228600</xdr:rowOff>
    </xdr:to>
    <xdr:sp>
      <xdr:nvSpPr>
        <xdr:cNvPr id="486" name="Line 486"/>
        <xdr:cNvSpPr>
          <a:spLocks/>
        </xdr:cNvSpPr>
      </xdr:nvSpPr>
      <xdr:spPr>
        <a:xfrm>
          <a:off x="4029075" y="1887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487" name="Line 487"/>
        <xdr:cNvSpPr>
          <a:spLocks/>
        </xdr:cNvSpPr>
      </xdr:nvSpPr>
      <xdr:spPr>
        <a:xfrm>
          <a:off x="4029075" y="1900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488" name="Line 488"/>
        <xdr:cNvSpPr>
          <a:spLocks/>
        </xdr:cNvSpPr>
      </xdr:nvSpPr>
      <xdr:spPr>
        <a:xfrm>
          <a:off x="4029075" y="1900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02907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02907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91" name="Line 49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92" name="Line 49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93" name="Line 49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94" name="Line 49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95" name="Line 49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96" name="Line 49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97" name="Line 49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98" name="Line 49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99" name="Line 49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500" name="Line 50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501" name="Line 50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502" name="Line 50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503" name="Line 50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504" name="Line 50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505" name="Line 50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506" name="Line 50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507" name="Line 50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508" name="Line 508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509" name="Line 509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10" name="Line 51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11" name="Line 51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12" name="Line 51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13" name="Line 51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14" name="Line 51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15" name="Line 51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16" name="Line 51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17" name="Line 51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18" name="Line 51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19" name="Line 51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20" name="Line 52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21" name="Line 52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22" name="Line 52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23" name="Line 52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24" name="Line 52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135</xdr:row>
      <xdr:rowOff>0</xdr:rowOff>
    </xdr:from>
    <xdr:to>
      <xdr:col>1</xdr:col>
      <xdr:colOff>466725</xdr:colOff>
      <xdr:row>135</xdr:row>
      <xdr:rowOff>0</xdr:rowOff>
    </xdr:to>
    <xdr:sp>
      <xdr:nvSpPr>
        <xdr:cNvPr id="525" name="Line 525"/>
        <xdr:cNvSpPr>
          <a:spLocks/>
        </xdr:cNvSpPr>
      </xdr:nvSpPr>
      <xdr:spPr>
        <a:xfrm>
          <a:off x="733425" y="36928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526" name="Line 526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527" name="Line 527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0290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0290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530" name="Line 530"/>
        <xdr:cNvSpPr>
          <a:spLocks/>
        </xdr:cNvSpPr>
      </xdr:nvSpPr>
      <xdr:spPr>
        <a:xfrm>
          <a:off x="4029075" y="3271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531" name="Line 531"/>
        <xdr:cNvSpPr>
          <a:spLocks/>
        </xdr:cNvSpPr>
      </xdr:nvSpPr>
      <xdr:spPr>
        <a:xfrm>
          <a:off x="4029075" y="3271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32" name="Line 53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33" name="Line 53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34" name="Line 53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35" name="Line 53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536" name="Line 536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7" name="Line 537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8" name="Line 538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9" name="Line 539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0" name="Line 540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1" name="Line 541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2" name="Line 542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3" name="Line 543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4" name="Line 544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5" name="Line 545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6" name="Line 546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547" name="Line 54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548" name="Line 54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549" name="Line 54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550" name="Line 55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551" name="Line 55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552" name="Line 55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53" name="Line 553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554" name="Line 55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555" name="Line 55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556" name="Line 55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557" name="Line 55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558" name="Line 55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559" name="Line 55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560" name="Line 560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561" name="Line 561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562" name="Line 562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563" name="Line 563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564" name="Line 564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565" name="Line 565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566" name="Line 566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567" name="Line 567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568" name="Line 568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69" name="Line 56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70" name="Line 57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71" name="Line 57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72" name="Line 57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73" name="Line 57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74" name="Line 57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75" name="Line 57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76" name="Line 57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77" name="Line 57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78" name="Line 57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79" name="Line 57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80" name="Line 58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81" name="Line 58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82" name="Line 58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83" name="Line 58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84" name="Line 58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85" name="Line 58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86" name="Line 58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87" name="Line 58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88" name="Line 58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89" name="Line 58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90" name="Line 59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91" name="Line 59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92" name="Line 59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93" name="Line 59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94" name="Line 59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95" name="Line 59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96" name="Line 59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97" name="Line 59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98" name="Line 59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99" name="Line 599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0" name="Line 600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1" name="Line 601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2" name="Line 602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3" name="Line 603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4" name="Line 604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05" name="Line 60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06" name="Line 60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07" name="Line 60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08" name="Line 60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09" name="Line 60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10" name="Line 61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11" name="Line 61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12" name="Line 61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613" name="Line 613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614" name="Line 614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615" name="Line 615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616" name="Line 616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617" name="Line 617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618" name="Line 618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619" name="Line 619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620" name="Line 620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21" name="Line 62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22" name="Line 62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23" name="Line 62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24" name="Line 62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25" name="Line 62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26" name="Line 62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27" name="Line 62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28" name="Line 62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29" name="Line 62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30" name="Line 63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31" name="Line 63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32" name="Line 63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33" name="Line 63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34" name="Line 63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35" name="Line 63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36" name="Line 63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37" name="Line 63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38" name="Line 63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39" name="Line 63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40" name="Line 64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41" name="Line 64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42" name="Line 64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43" name="Line 64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44" name="Line 64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135</xdr:row>
      <xdr:rowOff>0</xdr:rowOff>
    </xdr:from>
    <xdr:to>
      <xdr:col>1</xdr:col>
      <xdr:colOff>466725</xdr:colOff>
      <xdr:row>135</xdr:row>
      <xdr:rowOff>0</xdr:rowOff>
    </xdr:to>
    <xdr:sp>
      <xdr:nvSpPr>
        <xdr:cNvPr id="645" name="Line 645"/>
        <xdr:cNvSpPr>
          <a:spLocks/>
        </xdr:cNvSpPr>
      </xdr:nvSpPr>
      <xdr:spPr>
        <a:xfrm>
          <a:off x="733425" y="36928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135</xdr:row>
      <xdr:rowOff>0</xdr:rowOff>
    </xdr:from>
    <xdr:to>
      <xdr:col>1</xdr:col>
      <xdr:colOff>466725</xdr:colOff>
      <xdr:row>135</xdr:row>
      <xdr:rowOff>0</xdr:rowOff>
    </xdr:to>
    <xdr:sp>
      <xdr:nvSpPr>
        <xdr:cNvPr id="646" name="Line 646"/>
        <xdr:cNvSpPr>
          <a:spLocks/>
        </xdr:cNvSpPr>
      </xdr:nvSpPr>
      <xdr:spPr>
        <a:xfrm>
          <a:off x="733425" y="36928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135</xdr:row>
      <xdr:rowOff>0</xdr:rowOff>
    </xdr:from>
    <xdr:to>
      <xdr:col>1</xdr:col>
      <xdr:colOff>457200</xdr:colOff>
      <xdr:row>135</xdr:row>
      <xdr:rowOff>0</xdr:rowOff>
    </xdr:to>
    <xdr:sp>
      <xdr:nvSpPr>
        <xdr:cNvPr id="647" name="Line 647"/>
        <xdr:cNvSpPr>
          <a:spLocks/>
        </xdr:cNvSpPr>
      </xdr:nvSpPr>
      <xdr:spPr>
        <a:xfrm>
          <a:off x="723900" y="36928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648" name="Line 648"/>
        <xdr:cNvSpPr>
          <a:spLocks/>
        </xdr:cNvSpPr>
      </xdr:nvSpPr>
      <xdr:spPr>
        <a:xfrm>
          <a:off x="4029075" y="437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649" name="Line 649"/>
        <xdr:cNvSpPr>
          <a:spLocks/>
        </xdr:cNvSpPr>
      </xdr:nvSpPr>
      <xdr:spPr>
        <a:xfrm>
          <a:off x="4029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650" name="Line 650"/>
        <xdr:cNvSpPr>
          <a:spLocks/>
        </xdr:cNvSpPr>
      </xdr:nvSpPr>
      <xdr:spPr>
        <a:xfrm>
          <a:off x="4029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651" name="Line 651"/>
        <xdr:cNvSpPr>
          <a:spLocks/>
        </xdr:cNvSpPr>
      </xdr:nvSpPr>
      <xdr:spPr>
        <a:xfrm>
          <a:off x="40290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652" name="Line 652"/>
        <xdr:cNvSpPr>
          <a:spLocks/>
        </xdr:cNvSpPr>
      </xdr:nvSpPr>
      <xdr:spPr>
        <a:xfrm>
          <a:off x="40290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161925</xdr:rowOff>
    </xdr:from>
    <xdr:to>
      <xdr:col>4</xdr:col>
      <xdr:colOff>0</xdr:colOff>
      <xdr:row>27</xdr:row>
      <xdr:rowOff>161925</xdr:rowOff>
    </xdr:to>
    <xdr:sp>
      <xdr:nvSpPr>
        <xdr:cNvPr id="653" name="Line 653"/>
        <xdr:cNvSpPr>
          <a:spLocks/>
        </xdr:cNvSpPr>
      </xdr:nvSpPr>
      <xdr:spPr>
        <a:xfrm>
          <a:off x="4029075" y="75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654" name="Line 654"/>
        <xdr:cNvSpPr>
          <a:spLocks/>
        </xdr:cNvSpPr>
      </xdr:nvSpPr>
      <xdr:spPr>
        <a:xfrm>
          <a:off x="402907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655" name="Line 655"/>
        <xdr:cNvSpPr>
          <a:spLocks/>
        </xdr:cNvSpPr>
      </xdr:nvSpPr>
      <xdr:spPr>
        <a:xfrm>
          <a:off x="402907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656" name="Line 656"/>
        <xdr:cNvSpPr>
          <a:spLocks/>
        </xdr:cNvSpPr>
      </xdr:nvSpPr>
      <xdr:spPr>
        <a:xfrm>
          <a:off x="4029075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657" name="Line 657"/>
        <xdr:cNvSpPr>
          <a:spLocks/>
        </xdr:cNvSpPr>
      </xdr:nvSpPr>
      <xdr:spPr>
        <a:xfrm>
          <a:off x="4029075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333375</xdr:rowOff>
    </xdr:from>
    <xdr:to>
      <xdr:col>4</xdr:col>
      <xdr:colOff>0</xdr:colOff>
      <xdr:row>35</xdr:row>
      <xdr:rowOff>333375</xdr:rowOff>
    </xdr:to>
    <xdr:sp>
      <xdr:nvSpPr>
        <xdr:cNvPr id="658" name="Line 658"/>
        <xdr:cNvSpPr>
          <a:spLocks/>
        </xdr:cNvSpPr>
      </xdr:nvSpPr>
      <xdr:spPr>
        <a:xfrm>
          <a:off x="402907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333375</xdr:rowOff>
    </xdr:from>
    <xdr:to>
      <xdr:col>4</xdr:col>
      <xdr:colOff>0</xdr:colOff>
      <xdr:row>35</xdr:row>
      <xdr:rowOff>333375</xdr:rowOff>
    </xdr:to>
    <xdr:sp>
      <xdr:nvSpPr>
        <xdr:cNvPr id="659" name="Line 659"/>
        <xdr:cNvSpPr>
          <a:spLocks/>
        </xdr:cNvSpPr>
      </xdr:nvSpPr>
      <xdr:spPr>
        <a:xfrm>
          <a:off x="402907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161925</xdr:rowOff>
    </xdr:from>
    <xdr:to>
      <xdr:col>4</xdr:col>
      <xdr:colOff>0</xdr:colOff>
      <xdr:row>53</xdr:row>
      <xdr:rowOff>161925</xdr:rowOff>
    </xdr:to>
    <xdr:sp>
      <xdr:nvSpPr>
        <xdr:cNvPr id="660" name="Line 660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661" name="Line 661"/>
        <xdr:cNvSpPr>
          <a:spLocks/>
        </xdr:cNvSpPr>
      </xdr:nvSpPr>
      <xdr:spPr>
        <a:xfrm>
          <a:off x="402907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662" name="Line 662"/>
        <xdr:cNvSpPr>
          <a:spLocks/>
        </xdr:cNvSpPr>
      </xdr:nvSpPr>
      <xdr:spPr>
        <a:xfrm>
          <a:off x="402907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663" name="Line 663"/>
        <xdr:cNvSpPr>
          <a:spLocks/>
        </xdr:cNvSpPr>
      </xdr:nvSpPr>
      <xdr:spPr>
        <a:xfrm>
          <a:off x="4029075" y="1563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664" name="Line 664"/>
        <xdr:cNvSpPr>
          <a:spLocks/>
        </xdr:cNvSpPr>
      </xdr:nvSpPr>
      <xdr:spPr>
        <a:xfrm>
          <a:off x="4029075" y="1563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333375</xdr:rowOff>
    </xdr:from>
    <xdr:to>
      <xdr:col>4</xdr:col>
      <xdr:colOff>0</xdr:colOff>
      <xdr:row>59</xdr:row>
      <xdr:rowOff>333375</xdr:rowOff>
    </xdr:to>
    <xdr:sp>
      <xdr:nvSpPr>
        <xdr:cNvPr id="665" name="Line 665"/>
        <xdr:cNvSpPr>
          <a:spLocks/>
        </xdr:cNvSpPr>
      </xdr:nvSpPr>
      <xdr:spPr>
        <a:xfrm>
          <a:off x="4029075" y="1645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333375</xdr:rowOff>
    </xdr:from>
    <xdr:to>
      <xdr:col>4</xdr:col>
      <xdr:colOff>0</xdr:colOff>
      <xdr:row>59</xdr:row>
      <xdr:rowOff>333375</xdr:rowOff>
    </xdr:to>
    <xdr:sp>
      <xdr:nvSpPr>
        <xdr:cNvPr id="666" name="Line 666"/>
        <xdr:cNvSpPr>
          <a:spLocks/>
        </xdr:cNvSpPr>
      </xdr:nvSpPr>
      <xdr:spPr>
        <a:xfrm>
          <a:off x="4029075" y="1645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228600</xdr:rowOff>
    </xdr:from>
    <xdr:to>
      <xdr:col>4</xdr:col>
      <xdr:colOff>0</xdr:colOff>
      <xdr:row>68</xdr:row>
      <xdr:rowOff>228600</xdr:rowOff>
    </xdr:to>
    <xdr:sp>
      <xdr:nvSpPr>
        <xdr:cNvPr id="667" name="Line 667"/>
        <xdr:cNvSpPr>
          <a:spLocks/>
        </xdr:cNvSpPr>
      </xdr:nvSpPr>
      <xdr:spPr>
        <a:xfrm>
          <a:off x="4029075" y="1887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68" name="Line 668"/>
        <xdr:cNvSpPr>
          <a:spLocks/>
        </xdr:cNvSpPr>
      </xdr:nvSpPr>
      <xdr:spPr>
        <a:xfrm>
          <a:off x="4029075" y="1900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69" name="Line 669"/>
        <xdr:cNvSpPr>
          <a:spLocks/>
        </xdr:cNvSpPr>
      </xdr:nvSpPr>
      <xdr:spPr>
        <a:xfrm>
          <a:off x="4029075" y="1900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70" name="Line 670"/>
        <xdr:cNvSpPr>
          <a:spLocks/>
        </xdr:cNvSpPr>
      </xdr:nvSpPr>
      <xdr:spPr>
        <a:xfrm>
          <a:off x="402907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71" name="Line 671"/>
        <xdr:cNvSpPr>
          <a:spLocks/>
        </xdr:cNvSpPr>
      </xdr:nvSpPr>
      <xdr:spPr>
        <a:xfrm>
          <a:off x="402907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72" name="Line 67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73" name="Line 67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74" name="Line 67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75" name="Line 67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76" name="Line 67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77" name="Line 67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78" name="Line 67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79" name="Line 67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80" name="Line 68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81" name="Line 68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82" name="Line 68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83" name="Line 68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84" name="Line 68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85" name="Line 68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86" name="Line 68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87" name="Line 68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88" name="Line 68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689" name="Line 689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690" name="Line 690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91" name="Line 69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92" name="Line 69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93" name="Line 69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94" name="Line 69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95" name="Line 69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96" name="Line 69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97" name="Line 69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98" name="Line 69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699" name="Line 69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00" name="Line 70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01" name="Line 70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02" name="Line 70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03" name="Line 70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04" name="Line 70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05" name="Line 70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135</xdr:row>
      <xdr:rowOff>0</xdr:rowOff>
    </xdr:from>
    <xdr:to>
      <xdr:col>1</xdr:col>
      <xdr:colOff>466725</xdr:colOff>
      <xdr:row>135</xdr:row>
      <xdr:rowOff>0</xdr:rowOff>
    </xdr:to>
    <xdr:sp>
      <xdr:nvSpPr>
        <xdr:cNvPr id="706" name="Line 706"/>
        <xdr:cNvSpPr>
          <a:spLocks/>
        </xdr:cNvSpPr>
      </xdr:nvSpPr>
      <xdr:spPr>
        <a:xfrm>
          <a:off x="733425" y="36928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707" name="Line 707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708" name="Line 708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709" name="Line 709"/>
        <xdr:cNvSpPr>
          <a:spLocks/>
        </xdr:cNvSpPr>
      </xdr:nvSpPr>
      <xdr:spPr>
        <a:xfrm>
          <a:off x="40290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710" name="Line 710"/>
        <xdr:cNvSpPr>
          <a:spLocks/>
        </xdr:cNvSpPr>
      </xdr:nvSpPr>
      <xdr:spPr>
        <a:xfrm>
          <a:off x="40290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711" name="Line 711"/>
        <xdr:cNvSpPr>
          <a:spLocks/>
        </xdr:cNvSpPr>
      </xdr:nvSpPr>
      <xdr:spPr>
        <a:xfrm>
          <a:off x="4029075" y="3271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712" name="Line 712"/>
        <xdr:cNvSpPr>
          <a:spLocks/>
        </xdr:cNvSpPr>
      </xdr:nvSpPr>
      <xdr:spPr>
        <a:xfrm>
          <a:off x="4029075" y="3271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13" name="Line 71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14" name="Line 71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15" name="Line 71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16" name="Line 71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717" name="Line 717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18" name="Line 718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19" name="Line 719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0" name="Line 720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1" name="Line 721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2" name="Line 722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3" name="Line 723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4" name="Line 724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5" name="Line 725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6" name="Line 726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7" name="Line 727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28" name="Line 72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29" name="Line 72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30" name="Line 73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31" name="Line 73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32" name="Line 73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33" name="Line 73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34" name="Line 734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35" name="Line 73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36" name="Line 73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37" name="Line 73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38" name="Line 73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39" name="Line 73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40" name="Line 74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741" name="Line 741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742" name="Line 742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743" name="Line 743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744" name="Line 744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745" name="Line 745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746" name="Line 746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747" name="Line 747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748" name="Line 748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749" name="Line 749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50" name="Line 75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51" name="Line 75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52" name="Line 75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53" name="Line 75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54" name="Line 75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55" name="Line 75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56" name="Line 75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57" name="Line 75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58" name="Line 75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59" name="Line 75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60" name="Line 76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61" name="Line 76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62" name="Line 76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63" name="Line 76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64" name="Line 76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65" name="Line 76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66" name="Line 76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67" name="Line 76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68" name="Line 76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69" name="Line 76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70" name="Line 77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71" name="Line 77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72" name="Line 77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73" name="Line 77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74" name="Line 77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75" name="Line 77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76" name="Line 77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77" name="Line 77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78" name="Line 77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79" name="Line 77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0" name="Line 780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1" name="Line 781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2" name="Line 782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3" name="Line 783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4" name="Line 784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5" name="Line 785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86" name="Line 78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87" name="Line 78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88" name="Line 78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89" name="Line 78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90" name="Line 79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91" name="Line 79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92" name="Line 79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93" name="Line 79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794" name="Line 794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795" name="Line 795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796" name="Line 796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797" name="Line 797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798" name="Line 798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799" name="Line 799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800" name="Line 800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801" name="Line 801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02" name="Line 80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03" name="Line 80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04" name="Line 80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05" name="Line 80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06" name="Line 80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07" name="Line 80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08" name="Line 80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09" name="Line 80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10" name="Line 81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11" name="Line 81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12" name="Line 81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13" name="Line 81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14" name="Line 81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15" name="Line 81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16" name="Line 81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17" name="Line 81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18" name="Line 81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19" name="Line 81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20" name="Line 82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21" name="Line 82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22" name="Line 82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23" name="Line 82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24" name="Line 82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25" name="Line 82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826" name="Line 826"/>
        <xdr:cNvSpPr>
          <a:spLocks/>
        </xdr:cNvSpPr>
      </xdr:nvSpPr>
      <xdr:spPr>
        <a:xfrm>
          <a:off x="4029075" y="437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827" name="Line 827"/>
        <xdr:cNvSpPr>
          <a:spLocks/>
        </xdr:cNvSpPr>
      </xdr:nvSpPr>
      <xdr:spPr>
        <a:xfrm>
          <a:off x="4029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828" name="Line 828"/>
        <xdr:cNvSpPr>
          <a:spLocks/>
        </xdr:cNvSpPr>
      </xdr:nvSpPr>
      <xdr:spPr>
        <a:xfrm>
          <a:off x="4029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829" name="Line 829"/>
        <xdr:cNvSpPr>
          <a:spLocks/>
        </xdr:cNvSpPr>
      </xdr:nvSpPr>
      <xdr:spPr>
        <a:xfrm>
          <a:off x="40290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830" name="Line 830"/>
        <xdr:cNvSpPr>
          <a:spLocks/>
        </xdr:cNvSpPr>
      </xdr:nvSpPr>
      <xdr:spPr>
        <a:xfrm>
          <a:off x="40290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161925</xdr:rowOff>
    </xdr:from>
    <xdr:to>
      <xdr:col>4</xdr:col>
      <xdr:colOff>0</xdr:colOff>
      <xdr:row>27</xdr:row>
      <xdr:rowOff>161925</xdr:rowOff>
    </xdr:to>
    <xdr:sp>
      <xdr:nvSpPr>
        <xdr:cNvPr id="831" name="Line 831"/>
        <xdr:cNvSpPr>
          <a:spLocks/>
        </xdr:cNvSpPr>
      </xdr:nvSpPr>
      <xdr:spPr>
        <a:xfrm>
          <a:off x="4029075" y="75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832" name="Line 832"/>
        <xdr:cNvSpPr>
          <a:spLocks/>
        </xdr:cNvSpPr>
      </xdr:nvSpPr>
      <xdr:spPr>
        <a:xfrm>
          <a:off x="402907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833" name="Line 833"/>
        <xdr:cNvSpPr>
          <a:spLocks/>
        </xdr:cNvSpPr>
      </xdr:nvSpPr>
      <xdr:spPr>
        <a:xfrm>
          <a:off x="402907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834" name="Line 834"/>
        <xdr:cNvSpPr>
          <a:spLocks/>
        </xdr:cNvSpPr>
      </xdr:nvSpPr>
      <xdr:spPr>
        <a:xfrm>
          <a:off x="4029075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835" name="Line 835"/>
        <xdr:cNvSpPr>
          <a:spLocks/>
        </xdr:cNvSpPr>
      </xdr:nvSpPr>
      <xdr:spPr>
        <a:xfrm>
          <a:off x="4029075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333375</xdr:rowOff>
    </xdr:from>
    <xdr:to>
      <xdr:col>4</xdr:col>
      <xdr:colOff>0</xdr:colOff>
      <xdr:row>35</xdr:row>
      <xdr:rowOff>333375</xdr:rowOff>
    </xdr:to>
    <xdr:sp>
      <xdr:nvSpPr>
        <xdr:cNvPr id="836" name="Line 836"/>
        <xdr:cNvSpPr>
          <a:spLocks/>
        </xdr:cNvSpPr>
      </xdr:nvSpPr>
      <xdr:spPr>
        <a:xfrm>
          <a:off x="402907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333375</xdr:rowOff>
    </xdr:from>
    <xdr:to>
      <xdr:col>4</xdr:col>
      <xdr:colOff>0</xdr:colOff>
      <xdr:row>35</xdr:row>
      <xdr:rowOff>333375</xdr:rowOff>
    </xdr:to>
    <xdr:sp>
      <xdr:nvSpPr>
        <xdr:cNvPr id="837" name="Line 837"/>
        <xdr:cNvSpPr>
          <a:spLocks/>
        </xdr:cNvSpPr>
      </xdr:nvSpPr>
      <xdr:spPr>
        <a:xfrm>
          <a:off x="402907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161925</xdr:rowOff>
    </xdr:from>
    <xdr:to>
      <xdr:col>4</xdr:col>
      <xdr:colOff>0</xdr:colOff>
      <xdr:row>53</xdr:row>
      <xdr:rowOff>161925</xdr:rowOff>
    </xdr:to>
    <xdr:sp>
      <xdr:nvSpPr>
        <xdr:cNvPr id="838" name="Line 838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839" name="Line 839"/>
        <xdr:cNvSpPr>
          <a:spLocks/>
        </xdr:cNvSpPr>
      </xdr:nvSpPr>
      <xdr:spPr>
        <a:xfrm>
          <a:off x="402907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840" name="Line 840"/>
        <xdr:cNvSpPr>
          <a:spLocks/>
        </xdr:cNvSpPr>
      </xdr:nvSpPr>
      <xdr:spPr>
        <a:xfrm>
          <a:off x="402907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841" name="Line 841"/>
        <xdr:cNvSpPr>
          <a:spLocks/>
        </xdr:cNvSpPr>
      </xdr:nvSpPr>
      <xdr:spPr>
        <a:xfrm>
          <a:off x="4029075" y="1563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842" name="Line 842"/>
        <xdr:cNvSpPr>
          <a:spLocks/>
        </xdr:cNvSpPr>
      </xdr:nvSpPr>
      <xdr:spPr>
        <a:xfrm>
          <a:off x="4029075" y="1563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333375</xdr:rowOff>
    </xdr:from>
    <xdr:to>
      <xdr:col>4</xdr:col>
      <xdr:colOff>0</xdr:colOff>
      <xdr:row>59</xdr:row>
      <xdr:rowOff>333375</xdr:rowOff>
    </xdr:to>
    <xdr:sp>
      <xdr:nvSpPr>
        <xdr:cNvPr id="843" name="Line 843"/>
        <xdr:cNvSpPr>
          <a:spLocks/>
        </xdr:cNvSpPr>
      </xdr:nvSpPr>
      <xdr:spPr>
        <a:xfrm>
          <a:off x="4029075" y="1645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333375</xdr:rowOff>
    </xdr:from>
    <xdr:to>
      <xdr:col>4</xdr:col>
      <xdr:colOff>0</xdr:colOff>
      <xdr:row>59</xdr:row>
      <xdr:rowOff>333375</xdr:rowOff>
    </xdr:to>
    <xdr:sp>
      <xdr:nvSpPr>
        <xdr:cNvPr id="844" name="Line 844"/>
        <xdr:cNvSpPr>
          <a:spLocks/>
        </xdr:cNvSpPr>
      </xdr:nvSpPr>
      <xdr:spPr>
        <a:xfrm>
          <a:off x="4029075" y="1645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228600</xdr:rowOff>
    </xdr:from>
    <xdr:to>
      <xdr:col>4</xdr:col>
      <xdr:colOff>0</xdr:colOff>
      <xdr:row>68</xdr:row>
      <xdr:rowOff>228600</xdr:rowOff>
    </xdr:to>
    <xdr:sp>
      <xdr:nvSpPr>
        <xdr:cNvPr id="845" name="Line 845"/>
        <xdr:cNvSpPr>
          <a:spLocks/>
        </xdr:cNvSpPr>
      </xdr:nvSpPr>
      <xdr:spPr>
        <a:xfrm>
          <a:off x="4029075" y="1887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846" name="Line 846"/>
        <xdr:cNvSpPr>
          <a:spLocks/>
        </xdr:cNvSpPr>
      </xdr:nvSpPr>
      <xdr:spPr>
        <a:xfrm>
          <a:off x="4029075" y="1900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847" name="Line 847"/>
        <xdr:cNvSpPr>
          <a:spLocks/>
        </xdr:cNvSpPr>
      </xdr:nvSpPr>
      <xdr:spPr>
        <a:xfrm>
          <a:off x="4029075" y="1900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848" name="Line 848"/>
        <xdr:cNvSpPr>
          <a:spLocks/>
        </xdr:cNvSpPr>
      </xdr:nvSpPr>
      <xdr:spPr>
        <a:xfrm>
          <a:off x="402907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849" name="Line 849"/>
        <xdr:cNvSpPr>
          <a:spLocks/>
        </xdr:cNvSpPr>
      </xdr:nvSpPr>
      <xdr:spPr>
        <a:xfrm>
          <a:off x="402907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850" name="Line 85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851" name="Line 85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852" name="Line 85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853" name="Line 85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854" name="Line 85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855" name="Line 85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856" name="Line 85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857" name="Line 85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858" name="Line 85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859" name="Line 85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860" name="Line 86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861" name="Line 86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862" name="Line 86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863" name="Line 86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864" name="Line 86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865" name="Line 86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866" name="Line 86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867" name="Line 867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868" name="Line 868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69" name="Line 86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70" name="Line 87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71" name="Line 87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72" name="Line 87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73" name="Line 87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74" name="Line 87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75" name="Line 87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76" name="Line 87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77" name="Line 87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78" name="Line 87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79" name="Line 87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80" name="Line 88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81" name="Line 88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82" name="Line 88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83" name="Line 88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884" name="Line 884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885" name="Line 885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886" name="Line 886"/>
        <xdr:cNvSpPr>
          <a:spLocks/>
        </xdr:cNvSpPr>
      </xdr:nvSpPr>
      <xdr:spPr>
        <a:xfrm>
          <a:off x="40290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887" name="Line 887"/>
        <xdr:cNvSpPr>
          <a:spLocks/>
        </xdr:cNvSpPr>
      </xdr:nvSpPr>
      <xdr:spPr>
        <a:xfrm>
          <a:off x="40290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888" name="Line 888"/>
        <xdr:cNvSpPr>
          <a:spLocks/>
        </xdr:cNvSpPr>
      </xdr:nvSpPr>
      <xdr:spPr>
        <a:xfrm>
          <a:off x="4029075" y="3271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889" name="Line 889"/>
        <xdr:cNvSpPr>
          <a:spLocks/>
        </xdr:cNvSpPr>
      </xdr:nvSpPr>
      <xdr:spPr>
        <a:xfrm>
          <a:off x="4029075" y="3271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90" name="Line 89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91" name="Line 89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92" name="Line 89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93" name="Line 89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152400</xdr:rowOff>
    </xdr:from>
    <xdr:to>
      <xdr:col>4</xdr:col>
      <xdr:colOff>0</xdr:colOff>
      <xdr:row>105</xdr:row>
      <xdr:rowOff>152400</xdr:rowOff>
    </xdr:to>
    <xdr:sp>
      <xdr:nvSpPr>
        <xdr:cNvPr id="894" name="Line 894"/>
        <xdr:cNvSpPr>
          <a:spLocks/>
        </xdr:cNvSpPr>
      </xdr:nvSpPr>
      <xdr:spPr>
        <a:xfrm>
          <a:off x="4029075" y="2948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152400</xdr:rowOff>
    </xdr:from>
    <xdr:to>
      <xdr:col>4</xdr:col>
      <xdr:colOff>0</xdr:colOff>
      <xdr:row>105</xdr:row>
      <xdr:rowOff>152400</xdr:rowOff>
    </xdr:to>
    <xdr:sp>
      <xdr:nvSpPr>
        <xdr:cNvPr id="895" name="Line 895"/>
        <xdr:cNvSpPr>
          <a:spLocks/>
        </xdr:cNvSpPr>
      </xdr:nvSpPr>
      <xdr:spPr>
        <a:xfrm>
          <a:off x="4029075" y="2948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896" name="Line 896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897" name="Line 897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152400</xdr:rowOff>
    </xdr:from>
    <xdr:to>
      <xdr:col>4</xdr:col>
      <xdr:colOff>0</xdr:colOff>
      <xdr:row>105</xdr:row>
      <xdr:rowOff>152400</xdr:rowOff>
    </xdr:to>
    <xdr:sp>
      <xdr:nvSpPr>
        <xdr:cNvPr id="898" name="Line 898"/>
        <xdr:cNvSpPr>
          <a:spLocks/>
        </xdr:cNvSpPr>
      </xdr:nvSpPr>
      <xdr:spPr>
        <a:xfrm>
          <a:off x="4029075" y="2948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152400</xdr:rowOff>
    </xdr:from>
    <xdr:to>
      <xdr:col>4</xdr:col>
      <xdr:colOff>0</xdr:colOff>
      <xdr:row>105</xdr:row>
      <xdr:rowOff>152400</xdr:rowOff>
    </xdr:to>
    <xdr:sp>
      <xdr:nvSpPr>
        <xdr:cNvPr id="899" name="Line 899"/>
        <xdr:cNvSpPr>
          <a:spLocks/>
        </xdr:cNvSpPr>
      </xdr:nvSpPr>
      <xdr:spPr>
        <a:xfrm>
          <a:off x="4029075" y="2948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900" name="Line 900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901" name="Line 901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152400</xdr:rowOff>
    </xdr:from>
    <xdr:to>
      <xdr:col>4</xdr:col>
      <xdr:colOff>0</xdr:colOff>
      <xdr:row>105</xdr:row>
      <xdr:rowOff>152400</xdr:rowOff>
    </xdr:to>
    <xdr:sp>
      <xdr:nvSpPr>
        <xdr:cNvPr id="902" name="Line 902"/>
        <xdr:cNvSpPr>
          <a:spLocks/>
        </xdr:cNvSpPr>
      </xdr:nvSpPr>
      <xdr:spPr>
        <a:xfrm>
          <a:off x="4029075" y="2948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152400</xdr:rowOff>
    </xdr:from>
    <xdr:to>
      <xdr:col>4</xdr:col>
      <xdr:colOff>0</xdr:colOff>
      <xdr:row>105</xdr:row>
      <xdr:rowOff>152400</xdr:rowOff>
    </xdr:to>
    <xdr:sp>
      <xdr:nvSpPr>
        <xdr:cNvPr id="903" name="Line 903"/>
        <xdr:cNvSpPr>
          <a:spLocks/>
        </xdr:cNvSpPr>
      </xdr:nvSpPr>
      <xdr:spPr>
        <a:xfrm>
          <a:off x="4029075" y="2948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904" name="Line 904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905" name="Line 905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152400</xdr:rowOff>
    </xdr:from>
    <xdr:to>
      <xdr:col>4</xdr:col>
      <xdr:colOff>0</xdr:colOff>
      <xdr:row>105</xdr:row>
      <xdr:rowOff>152400</xdr:rowOff>
    </xdr:to>
    <xdr:sp>
      <xdr:nvSpPr>
        <xdr:cNvPr id="906" name="Line 906"/>
        <xdr:cNvSpPr>
          <a:spLocks/>
        </xdr:cNvSpPr>
      </xdr:nvSpPr>
      <xdr:spPr>
        <a:xfrm>
          <a:off x="4029075" y="2948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152400</xdr:rowOff>
    </xdr:from>
    <xdr:to>
      <xdr:col>4</xdr:col>
      <xdr:colOff>0</xdr:colOff>
      <xdr:row>105</xdr:row>
      <xdr:rowOff>152400</xdr:rowOff>
    </xdr:to>
    <xdr:sp>
      <xdr:nvSpPr>
        <xdr:cNvPr id="907" name="Line 907"/>
        <xdr:cNvSpPr>
          <a:spLocks/>
        </xdr:cNvSpPr>
      </xdr:nvSpPr>
      <xdr:spPr>
        <a:xfrm>
          <a:off x="4029075" y="2948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908" name="Line 908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909" name="Line 909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152400</xdr:rowOff>
    </xdr:from>
    <xdr:to>
      <xdr:col>4</xdr:col>
      <xdr:colOff>0</xdr:colOff>
      <xdr:row>105</xdr:row>
      <xdr:rowOff>152400</xdr:rowOff>
    </xdr:to>
    <xdr:sp>
      <xdr:nvSpPr>
        <xdr:cNvPr id="910" name="Line 910"/>
        <xdr:cNvSpPr>
          <a:spLocks/>
        </xdr:cNvSpPr>
      </xdr:nvSpPr>
      <xdr:spPr>
        <a:xfrm>
          <a:off x="4029075" y="2948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152400</xdr:rowOff>
    </xdr:from>
    <xdr:to>
      <xdr:col>4</xdr:col>
      <xdr:colOff>0</xdr:colOff>
      <xdr:row>105</xdr:row>
      <xdr:rowOff>152400</xdr:rowOff>
    </xdr:to>
    <xdr:sp>
      <xdr:nvSpPr>
        <xdr:cNvPr id="911" name="Line 911"/>
        <xdr:cNvSpPr>
          <a:spLocks/>
        </xdr:cNvSpPr>
      </xdr:nvSpPr>
      <xdr:spPr>
        <a:xfrm>
          <a:off x="4029075" y="2948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912" name="Line 912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913" name="Line 913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4" name="Line 914"/>
        <xdr:cNvSpPr>
          <a:spLocks/>
        </xdr:cNvSpPr>
      </xdr:nvSpPr>
      <xdr:spPr>
        <a:xfrm>
          <a:off x="4029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5" name="Line 915"/>
        <xdr:cNvSpPr>
          <a:spLocks/>
        </xdr:cNvSpPr>
      </xdr:nvSpPr>
      <xdr:spPr>
        <a:xfrm>
          <a:off x="4029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6" name="Line 916"/>
        <xdr:cNvSpPr>
          <a:spLocks/>
        </xdr:cNvSpPr>
      </xdr:nvSpPr>
      <xdr:spPr>
        <a:xfrm>
          <a:off x="4029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7" name="Line 917"/>
        <xdr:cNvSpPr>
          <a:spLocks/>
        </xdr:cNvSpPr>
      </xdr:nvSpPr>
      <xdr:spPr>
        <a:xfrm>
          <a:off x="4029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8" name="Line 918"/>
        <xdr:cNvSpPr>
          <a:spLocks/>
        </xdr:cNvSpPr>
      </xdr:nvSpPr>
      <xdr:spPr>
        <a:xfrm>
          <a:off x="4029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919" name="Line 919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0" name="Line 920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1" name="Line 921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2" name="Line 922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3" name="Line 923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4" name="Line 924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5" name="Line 925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6" name="Line 926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7" name="Line 927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8" name="Line 928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9" name="Line 929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930" name="Line 93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931" name="Line 93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932" name="Line 93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933" name="Line 93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934" name="Line 93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935" name="Line 93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36" name="Line 936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937" name="Line 93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938" name="Line 93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939" name="Line 93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940" name="Line 94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941" name="Line 94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942" name="Line 94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142875</xdr:rowOff>
    </xdr:from>
    <xdr:to>
      <xdr:col>4</xdr:col>
      <xdr:colOff>0</xdr:colOff>
      <xdr:row>105</xdr:row>
      <xdr:rowOff>142875</xdr:rowOff>
    </xdr:to>
    <xdr:sp>
      <xdr:nvSpPr>
        <xdr:cNvPr id="943" name="Line 943"/>
        <xdr:cNvSpPr>
          <a:spLocks/>
        </xdr:cNvSpPr>
      </xdr:nvSpPr>
      <xdr:spPr>
        <a:xfrm>
          <a:off x="4029075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944" name="Line 944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945" name="Line 945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946" name="Line 946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947" name="Line 947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948" name="Line 948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949" name="Line 949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950" name="Line 950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951" name="Line 951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52" name="Line 95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53" name="Line 95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54" name="Line 95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55" name="Line 95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56" name="Line 95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57" name="Line 95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58" name="Line 95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59" name="Line 95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60" name="Line 96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61" name="Line 96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62" name="Line 96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63" name="Line 96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64" name="Line 96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65" name="Line 96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66" name="Line 96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67" name="Line 96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68" name="Line 96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69" name="Line 96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70" name="Line 97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71" name="Line 97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72" name="Line 97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73" name="Line 97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74" name="Line 97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75" name="Line 97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76" name="Line 97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77" name="Line 97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78" name="Line 97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79" name="Line 97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80" name="Line 98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981" name="Line 98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2" name="Line 982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3" name="Line 983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4" name="Line 984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5" name="Line 985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6" name="Line 986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7" name="Line 987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988" name="Line 98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989" name="Line 98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990" name="Line 99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991" name="Line 99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992" name="Line 99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993" name="Line 99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994" name="Line 99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995" name="Line 99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996" name="Line 996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997" name="Line 997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998" name="Line 998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999" name="Line 999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24" name="Line 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25" name="Line 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26" name="Line 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27" name="Line 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028" name="Line 4"/>
        <xdr:cNvSpPr>
          <a:spLocks/>
        </xdr:cNvSpPr>
      </xdr:nvSpPr>
      <xdr:spPr>
        <a:xfrm>
          <a:off x="4029075" y="437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029" name="Line 5"/>
        <xdr:cNvSpPr>
          <a:spLocks/>
        </xdr:cNvSpPr>
      </xdr:nvSpPr>
      <xdr:spPr>
        <a:xfrm>
          <a:off x="4029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030" name="Line 6"/>
        <xdr:cNvSpPr>
          <a:spLocks/>
        </xdr:cNvSpPr>
      </xdr:nvSpPr>
      <xdr:spPr>
        <a:xfrm>
          <a:off x="4029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031" name="Line 7"/>
        <xdr:cNvSpPr>
          <a:spLocks/>
        </xdr:cNvSpPr>
      </xdr:nvSpPr>
      <xdr:spPr>
        <a:xfrm>
          <a:off x="40290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032" name="Line 8"/>
        <xdr:cNvSpPr>
          <a:spLocks/>
        </xdr:cNvSpPr>
      </xdr:nvSpPr>
      <xdr:spPr>
        <a:xfrm>
          <a:off x="40290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161925</xdr:rowOff>
    </xdr:from>
    <xdr:to>
      <xdr:col>4</xdr:col>
      <xdr:colOff>0</xdr:colOff>
      <xdr:row>27</xdr:row>
      <xdr:rowOff>161925</xdr:rowOff>
    </xdr:to>
    <xdr:sp>
      <xdr:nvSpPr>
        <xdr:cNvPr id="1033" name="Line 9"/>
        <xdr:cNvSpPr>
          <a:spLocks/>
        </xdr:cNvSpPr>
      </xdr:nvSpPr>
      <xdr:spPr>
        <a:xfrm>
          <a:off x="4029075" y="75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1034" name="Line 10"/>
        <xdr:cNvSpPr>
          <a:spLocks/>
        </xdr:cNvSpPr>
      </xdr:nvSpPr>
      <xdr:spPr>
        <a:xfrm>
          <a:off x="402907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1035" name="Line 11"/>
        <xdr:cNvSpPr>
          <a:spLocks/>
        </xdr:cNvSpPr>
      </xdr:nvSpPr>
      <xdr:spPr>
        <a:xfrm>
          <a:off x="402907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1036" name="Line 12"/>
        <xdr:cNvSpPr>
          <a:spLocks/>
        </xdr:cNvSpPr>
      </xdr:nvSpPr>
      <xdr:spPr>
        <a:xfrm>
          <a:off x="4029075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1037" name="Line 13"/>
        <xdr:cNvSpPr>
          <a:spLocks/>
        </xdr:cNvSpPr>
      </xdr:nvSpPr>
      <xdr:spPr>
        <a:xfrm>
          <a:off x="4029075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333375</xdr:rowOff>
    </xdr:from>
    <xdr:to>
      <xdr:col>4</xdr:col>
      <xdr:colOff>0</xdr:colOff>
      <xdr:row>35</xdr:row>
      <xdr:rowOff>333375</xdr:rowOff>
    </xdr:to>
    <xdr:sp>
      <xdr:nvSpPr>
        <xdr:cNvPr id="1038" name="Line 14"/>
        <xdr:cNvSpPr>
          <a:spLocks/>
        </xdr:cNvSpPr>
      </xdr:nvSpPr>
      <xdr:spPr>
        <a:xfrm>
          <a:off x="402907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333375</xdr:rowOff>
    </xdr:from>
    <xdr:to>
      <xdr:col>4</xdr:col>
      <xdr:colOff>0</xdr:colOff>
      <xdr:row>35</xdr:row>
      <xdr:rowOff>333375</xdr:rowOff>
    </xdr:to>
    <xdr:sp>
      <xdr:nvSpPr>
        <xdr:cNvPr id="1039" name="Line 15"/>
        <xdr:cNvSpPr>
          <a:spLocks/>
        </xdr:cNvSpPr>
      </xdr:nvSpPr>
      <xdr:spPr>
        <a:xfrm>
          <a:off x="402907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161925</xdr:rowOff>
    </xdr:from>
    <xdr:to>
      <xdr:col>4</xdr:col>
      <xdr:colOff>0</xdr:colOff>
      <xdr:row>53</xdr:row>
      <xdr:rowOff>161925</xdr:rowOff>
    </xdr:to>
    <xdr:sp>
      <xdr:nvSpPr>
        <xdr:cNvPr id="1040" name="Line 16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1041" name="Line 17"/>
        <xdr:cNvSpPr>
          <a:spLocks/>
        </xdr:cNvSpPr>
      </xdr:nvSpPr>
      <xdr:spPr>
        <a:xfrm>
          <a:off x="402907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1042" name="Line 18"/>
        <xdr:cNvSpPr>
          <a:spLocks/>
        </xdr:cNvSpPr>
      </xdr:nvSpPr>
      <xdr:spPr>
        <a:xfrm>
          <a:off x="402907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043" name="Line 19"/>
        <xdr:cNvSpPr>
          <a:spLocks/>
        </xdr:cNvSpPr>
      </xdr:nvSpPr>
      <xdr:spPr>
        <a:xfrm>
          <a:off x="4029075" y="1563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044" name="Line 20"/>
        <xdr:cNvSpPr>
          <a:spLocks/>
        </xdr:cNvSpPr>
      </xdr:nvSpPr>
      <xdr:spPr>
        <a:xfrm>
          <a:off x="4029075" y="1563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333375</xdr:rowOff>
    </xdr:from>
    <xdr:to>
      <xdr:col>4</xdr:col>
      <xdr:colOff>0</xdr:colOff>
      <xdr:row>59</xdr:row>
      <xdr:rowOff>333375</xdr:rowOff>
    </xdr:to>
    <xdr:sp>
      <xdr:nvSpPr>
        <xdr:cNvPr id="1045" name="Line 21"/>
        <xdr:cNvSpPr>
          <a:spLocks/>
        </xdr:cNvSpPr>
      </xdr:nvSpPr>
      <xdr:spPr>
        <a:xfrm>
          <a:off x="4029075" y="1645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333375</xdr:rowOff>
    </xdr:from>
    <xdr:to>
      <xdr:col>4</xdr:col>
      <xdr:colOff>0</xdr:colOff>
      <xdr:row>59</xdr:row>
      <xdr:rowOff>333375</xdr:rowOff>
    </xdr:to>
    <xdr:sp>
      <xdr:nvSpPr>
        <xdr:cNvPr id="1046" name="Line 22"/>
        <xdr:cNvSpPr>
          <a:spLocks/>
        </xdr:cNvSpPr>
      </xdr:nvSpPr>
      <xdr:spPr>
        <a:xfrm>
          <a:off x="4029075" y="1645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228600</xdr:rowOff>
    </xdr:from>
    <xdr:to>
      <xdr:col>4</xdr:col>
      <xdr:colOff>0</xdr:colOff>
      <xdr:row>68</xdr:row>
      <xdr:rowOff>228600</xdr:rowOff>
    </xdr:to>
    <xdr:sp>
      <xdr:nvSpPr>
        <xdr:cNvPr id="1047" name="Line 23"/>
        <xdr:cNvSpPr>
          <a:spLocks/>
        </xdr:cNvSpPr>
      </xdr:nvSpPr>
      <xdr:spPr>
        <a:xfrm>
          <a:off x="4029075" y="1887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048" name="Line 24"/>
        <xdr:cNvSpPr>
          <a:spLocks/>
        </xdr:cNvSpPr>
      </xdr:nvSpPr>
      <xdr:spPr>
        <a:xfrm>
          <a:off x="4029075" y="1900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049" name="Line 25"/>
        <xdr:cNvSpPr>
          <a:spLocks/>
        </xdr:cNvSpPr>
      </xdr:nvSpPr>
      <xdr:spPr>
        <a:xfrm>
          <a:off x="4029075" y="1900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050" name="Line 26"/>
        <xdr:cNvSpPr>
          <a:spLocks/>
        </xdr:cNvSpPr>
      </xdr:nvSpPr>
      <xdr:spPr>
        <a:xfrm>
          <a:off x="402907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051" name="Line 27"/>
        <xdr:cNvSpPr>
          <a:spLocks/>
        </xdr:cNvSpPr>
      </xdr:nvSpPr>
      <xdr:spPr>
        <a:xfrm>
          <a:off x="402907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052" name="Line 2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053" name="Line 2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054" name="Line 3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055" name="Line 3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056" name="Line 3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057" name="Line 3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058" name="Line 3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059" name="Line 3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060" name="Line 3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061" name="Line 3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062" name="Line 3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063" name="Line 3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064" name="Line 4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065" name="Line 4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066" name="Line 4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067" name="Line 4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068" name="Line 4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069" name="Line 45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070" name="Line 46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71" name="Line 4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72" name="Line 4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73" name="Line 4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74" name="Line 5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75" name="Line 5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76" name="Line 5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77" name="Line 5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78" name="Line 5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79" name="Line 5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80" name="Line 5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81" name="Line 5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82" name="Line 5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83" name="Line 5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84" name="Line 6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85" name="Line 6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1086" name="Line 62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1087" name="Line 63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088" name="Line 64"/>
        <xdr:cNvSpPr>
          <a:spLocks/>
        </xdr:cNvSpPr>
      </xdr:nvSpPr>
      <xdr:spPr>
        <a:xfrm>
          <a:off x="40290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089" name="Line 65"/>
        <xdr:cNvSpPr>
          <a:spLocks/>
        </xdr:cNvSpPr>
      </xdr:nvSpPr>
      <xdr:spPr>
        <a:xfrm>
          <a:off x="40290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090" name="Line 66"/>
        <xdr:cNvSpPr>
          <a:spLocks/>
        </xdr:cNvSpPr>
      </xdr:nvSpPr>
      <xdr:spPr>
        <a:xfrm>
          <a:off x="4029075" y="3271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091" name="Line 67"/>
        <xdr:cNvSpPr>
          <a:spLocks/>
        </xdr:cNvSpPr>
      </xdr:nvSpPr>
      <xdr:spPr>
        <a:xfrm>
          <a:off x="4029075" y="3271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92" name="Line 6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93" name="Line 6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94" name="Line 7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95" name="Line 7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096" name="Line 72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7" name="Line 73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8" name="Line 74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9" name="Line 75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0" name="Line 76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1" name="Line 77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2" name="Line 78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3" name="Line 79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4" name="Line 80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5" name="Line 81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6" name="Line 82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07" name="Line 8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08" name="Line 8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09" name="Line 8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10" name="Line 8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11" name="Line 8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12" name="Line 8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13" name="Line 89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14" name="Line 9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15" name="Line 9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16" name="Line 9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17" name="Line 9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18" name="Line 9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19" name="Line 9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142875</xdr:rowOff>
    </xdr:from>
    <xdr:to>
      <xdr:col>4</xdr:col>
      <xdr:colOff>0</xdr:colOff>
      <xdr:row>105</xdr:row>
      <xdr:rowOff>142875</xdr:rowOff>
    </xdr:to>
    <xdr:sp>
      <xdr:nvSpPr>
        <xdr:cNvPr id="1120" name="Line 96"/>
        <xdr:cNvSpPr>
          <a:spLocks/>
        </xdr:cNvSpPr>
      </xdr:nvSpPr>
      <xdr:spPr>
        <a:xfrm>
          <a:off x="4029075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121" name="Line 97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122" name="Line 98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123" name="Line 99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124" name="Line 100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125" name="Line 101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126" name="Line 102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127" name="Line 103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128" name="Line 104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29" name="Line 10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30" name="Line 10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31" name="Line 10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32" name="Line 10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33" name="Line 10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34" name="Line 11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35" name="Line 11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36" name="Line 11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37" name="Line 11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38" name="Line 11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39" name="Line 11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40" name="Line 11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41" name="Line 11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42" name="Line 11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43" name="Line 11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44" name="Line 12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45" name="Line 12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46" name="Line 12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47" name="Line 12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48" name="Line 12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49" name="Line 12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50" name="Line 12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51" name="Line 12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52" name="Line 12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53" name="Line 12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54" name="Line 13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55" name="Line 13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56" name="Line 13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57" name="Line 13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58" name="Line 13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59" name="Line 135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0" name="Line 136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1" name="Line 137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2" name="Line 138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3" name="Line 139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4" name="Line 140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65" name="Line 14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66" name="Line 14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67" name="Line 14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68" name="Line 14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69" name="Line 14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70" name="Line 14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71" name="Line 14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72" name="Line 14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173" name="Line 149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174" name="Line 150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175" name="Line 151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176" name="Line 152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177" name="Line 153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178" name="Line 154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179" name="Line 155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180" name="Line 156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81" name="Line 15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82" name="Line 15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83" name="Line 15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84" name="Line 16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85" name="Line 16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86" name="Line 16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87" name="Line 16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88" name="Line 16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89" name="Line 16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90" name="Line 16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91" name="Line 16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92" name="Line 16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93" name="Line 16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94" name="Line 17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95" name="Line 17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96" name="Line 17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97" name="Line 17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98" name="Line 17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199" name="Line 17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00" name="Line 17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01" name="Line 17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02" name="Line 17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03" name="Line 17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04" name="Line 18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205" name="Line 181"/>
        <xdr:cNvSpPr>
          <a:spLocks/>
        </xdr:cNvSpPr>
      </xdr:nvSpPr>
      <xdr:spPr>
        <a:xfrm>
          <a:off x="4029075" y="437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206" name="Line 182"/>
        <xdr:cNvSpPr>
          <a:spLocks/>
        </xdr:cNvSpPr>
      </xdr:nvSpPr>
      <xdr:spPr>
        <a:xfrm>
          <a:off x="4029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207" name="Line 183"/>
        <xdr:cNvSpPr>
          <a:spLocks/>
        </xdr:cNvSpPr>
      </xdr:nvSpPr>
      <xdr:spPr>
        <a:xfrm>
          <a:off x="4029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208" name="Line 184"/>
        <xdr:cNvSpPr>
          <a:spLocks/>
        </xdr:cNvSpPr>
      </xdr:nvSpPr>
      <xdr:spPr>
        <a:xfrm>
          <a:off x="40290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209" name="Line 185"/>
        <xdr:cNvSpPr>
          <a:spLocks/>
        </xdr:cNvSpPr>
      </xdr:nvSpPr>
      <xdr:spPr>
        <a:xfrm>
          <a:off x="40290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161925</xdr:rowOff>
    </xdr:from>
    <xdr:to>
      <xdr:col>4</xdr:col>
      <xdr:colOff>0</xdr:colOff>
      <xdr:row>27</xdr:row>
      <xdr:rowOff>161925</xdr:rowOff>
    </xdr:to>
    <xdr:sp>
      <xdr:nvSpPr>
        <xdr:cNvPr id="1210" name="Line 186"/>
        <xdr:cNvSpPr>
          <a:spLocks/>
        </xdr:cNvSpPr>
      </xdr:nvSpPr>
      <xdr:spPr>
        <a:xfrm>
          <a:off x="4029075" y="75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1211" name="Line 187"/>
        <xdr:cNvSpPr>
          <a:spLocks/>
        </xdr:cNvSpPr>
      </xdr:nvSpPr>
      <xdr:spPr>
        <a:xfrm>
          <a:off x="402907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1212" name="Line 188"/>
        <xdr:cNvSpPr>
          <a:spLocks/>
        </xdr:cNvSpPr>
      </xdr:nvSpPr>
      <xdr:spPr>
        <a:xfrm>
          <a:off x="402907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1213" name="Line 189"/>
        <xdr:cNvSpPr>
          <a:spLocks/>
        </xdr:cNvSpPr>
      </xdr:nvSpPr>
      <xdr:spPr>
        <a:xfrm>
          <a:off x="4029075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1214" name="Line 190"/>
        <xdr:cNvSpPr>
          <a:spLocks/>
        </xdr:cNvSpPr>
      </xdr:nvSpPr>
      <xdr:spPr>
        <a:xfrm>
          <a:off x="4029075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333375</xdr:rowOff>
    </xdr:from>
    <xdr:to>
      <xdr:col>4</xdr:col>
      <xdr:colOff>0</xdr:colOff>
      <xdr:row>35</xdr:row>
      <xdr:rowOff>333375</xdr:rowOff>
    </xdr:to>
    <xdr:sp>
      <xdr:nvSpPr>
        <xdr:cNvPr id="1215" name="Line 191"/>
        <xdr:cNvSpPr>
          <a:spLocks/>
        </xdr:cNvSpPr>
      </xdr:nvSpPr>
      <xdr:spPr>
        <a:xfrm>
          <a:off x="402907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333375</xdr:rowOff>
    </xdr:from>
    <xdr:to>
      <xdr:col>4</xdr:col>
      <xdr:colOff>0</xdr:colOff>
      <xdr:row>35</xdr:row>
      <xdr:rowOff>333375</xdr:rowOff>
    </xdr:to>
    <xdr:sp>
      <xdr:nvSpPr>
        <xdr:cNvPr id="1216" name="Line 192"/>
        <xdr:cNvSpPr>
          <a:spLocks/>
        </xdr:cNvSpPr>
      </xdr:nvSpPr>
      <xdr:spPr>
        <a:xfrm>
          <a:off x="402907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161925</xdr:rowOff>
    </xdr:from>
    <xdr:to>
      <xdr:col>4</xdr:col>
      <xdr:colOff>0</xdr:colOff>
      <xdr:row>53</xdr:row>
      <xdr:rowOff>161925</xdr:rowOff>
    </xdr:to>
    <xdr:sp>
      <xdr:nvSpPr>
        <xdr:cNvPr id="1217" name="Line 193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1218" name="Line 194"/>
        <xdr:cNvSpPr>
          <a:spLocks/>
        </xdr:cNvSpPr>
      </xdr:nvSpPr>
      <xdr:spPr>
        <a:xfrm>
          <a:off x="402907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1219" name="Line 195"/>
        <xdr:cNvSpPr>
          <a:spLocks/>
        </xdr:cNvSpPr>
      </xdr:nvSpPr>
      <xdr:spPr>
        <a:xfrm>
          <a:off x="402907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220" name="Line 196"/>
        <xdr:cNvSpPr>
          <a:spLocks/>
        </xdr:cNvSpPr>
      </xdr:nvSpPr>
      <xdr:spPr>
        <a:xfrm>
          <a:off x="4029075" y="1563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221" name="Line 197"/>
        <xdr:cNvSpPr>
          <a:spLocks/>
        </xdr:cNvSpPr>
      </xdr:nvSpPr>
      <xdr:spPr>
        <a:xfrm>
          <a:off x="4029075" y="1563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333375</xdr:rowOff>
    </xdr:from>
    <xdr:to>
      <xdr:col>4</xdr:col>
      <xdr:colOff>0</xdr:colOff>
      <xdr:row>59</xdr:row>
      <xdr:rowOff>333375</xdr:rowOff>
    </xdr:to>
    <xdr:sp>
      <xdr:nvSpPr>
        <xdr:cNvPr id="1222" name="Line 198"/>
        <xdr:cNvSpPr>
          <a:spLocks/>
        </xdr:cNvSpPr>
      </xdr:nvSpPr>
      <xdr:spPr>
        <a:xfrm>
          <a:off x="4029075" y="1645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333375</xdr:rowOff>
    </xdr:from>
    <xdr:to>
      <xdr:col>4</xdr:col>
      <xdr:colOff>0</xdr:colOff>
      <xdr:row>59</xdr:row>
      <xdr:rowOff>333375</xdr:rowOff>
    </xdr:to>
    <xdr:sp>
      <xdr:nvSpPr>
        <xdr:cNvPr id="1223" name="Line 199"/>
        <xdr:cNvSpPr>
          <a:spLocks/>
        </xdr:cNvSpPr>
      </xdr:nvSpPr>
      <xdr:spPr>
        <a:xfrm>
          <a:off x="4029075" y="1645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228600</xdr:rowOff>
    </xdr:from>
    <xdr:to>
      <xdr:col>4</xdr:col>
      <xdr:colOff>0</xdr:colOff>
      <xdr:row>68</xdr:row>
      <xdr:rowOff>228600</xdr:rowOff>
    </xdr:to>
    <xdr:sp>
      <xdr:nvSpPr>
        <xdr:cNvPr id="1224" name="Line 200"/>
        <xdr:cNvSpPr>
          <a:spLocks/>
        </xdr:cNvSpPr>
      </xdr:nvSpPr>
      <xdr:spPr>
        <a:xfrm>
          <a:off x="4029075" y="1887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225" name="Line 201"/>
        <xdr:cNvSpPr>
          <a:spLocks/>
        </xdr:cNvSpPr>
      </xdr:nvSpPr>
      <xdr:spPr>
        <a:xfrm>
          <a:off x="4029075" y="1900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226" name="Line 202"/>
        <xdr:cNvSpPr>
          <a:spLocks/>
        </xdr:cNvSpPr>
      </xdr:nvSpPr>
      <xdr:spPr>
        <a:xfrm>
          <a:off x="4029075" y="1900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402907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402907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29" name="Line 20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30" name="Line 20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32" name="Line 20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33" name="Line 20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34" name="Line 21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35" name="Line 21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37" name="Line 21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38" name="Line 21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39" name="Line 21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40" name="Line 21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41" name="Line 21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45" name="Line 22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246" name="Line 222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247" name="Line 223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48" name="Line 22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50" name="Line 22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51" name="Line 22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52" name="Line 22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53" name="Line 22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55" name="Line 23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56" name="Line 23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57" name="Line 23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58" name="Line 23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59" name="Line 23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1263" name="Line 239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1264" name="Line 240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40290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40290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267" name="Line 243"/>
        <xdr:cNvSpPr>
          <a:spLocks/>
        </xdr:cNvSpPr>
      </xdr:nvSpPr>
      <xdr:spPr>
        <a:xfrm>
          <a:off x="4029075" y="3271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268" name="Line 244"/>
        <xdr:cNvSpPr>
          <a:spLocks/>
        </xdr:cNvSpPr>
      </xdr:nvSpPr>
      <xdr:spPr>
        <a:xfrm>
          <a:off x="4029075" y="3271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69" name="Line 24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70" name="Line 24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71" name="Line 24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273" name="Line 249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4" name="Line 250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5" name="Line 251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6" name="Line 252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7" name="Line 253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1" name="Line 257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2" name="Line 258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3" name="Line 259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84" name="Line 26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86" name="Line 26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87" name="Line 26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88" name="Line 26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89" name="Line 26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91" name="Line 26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92" name="Line 26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93" name="Line 26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94" name="Line 27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95" name="Line 27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142875</xdr:rowOff>
    </xdr:from>
    <xdr:to>
      <xdr:col>4</xdr:col>
      <xdr:colOff>0</xdr:colOff>
      <xdr:row>105</xdr:row>
      <xdr:rowOff>142875</xdr:rowOff>
    </xdr:to>
    <xdr:sp>
      <xdr:nvSpPr>
        <xdr:cNvPr id="1297" name="Line 273"/>
        <xdr:cNvSpPr>
          <a:spLocks/>
        </xdr:cNvSpPr>
      </xdr:nvSpPr>
      <xdr:spPr>
        <a:xfrm>
          <a:off x="4029075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299" name="Line 275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135</xdr:row>
      <xdr:rowOff>0</xdr:rowOff>
    </xdr:from>
    <xdr:to>
      <xdr:col>1</xdr:col>
      <xdr:colOff>466725</xdr:colOff>
      <xdr:row>135</xdr:row>
      <xdr:rowOff>0</xdr:rowOff>
    </xdr:to>
    <xdr:sp>
      <xdr:nvSpPr>
        <xdr:cNvPr id="1382" name="Line 358"/>
        <xdr:cNvSpPr>
          <a:spLocks/>
        </xdr:cNvSpPr>
      </xdr:nvSpPr>
      <xdr:spPr>
        <a:xfrm>
          <a:off x="733425" y="36928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135</xdr:row>
      <xdr:rowOff>0</xdr:rowOff>
    </xdr:from>
    <xdr:to>
      <xdr:col>1</xdr:col>
      <xdr:colOff>466725</xdr:colOff>
      <xdr:row>135</xdr:row>
      <xdr:rowOff>0</xdr:rowOff>
    </xdr:to>
    <xdr:sp>
      <xdr:nvSpPr>
        <xdr:cNvPr id="1383" name="Line 359"/>
        <xdr:cNvSpPr>
          <a:spLocks/>
        </xdr:cNvSpPr>
      </xdr:nvSpPr>
      <xdr:spPr>
        <a:xfrm>
          <a:off x="733425" y="36928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135</xdr:row>
      <xdr:rowOff>0</xdr:rowOff>
    </xdr:from>
    <xdr:to>
      <xdr:col>1</xdr:col>
      <xdr:colOff>457200</xdr:colOff>
      <xdr:row>135</xdr:row>
      <xdr:rowOff>0</xdr:rowOff>
    </xdr:to>
    <xdr:sp>
      <xdr:nvSpPr>
        <xdr:cNvPr id="1384" name="Line 360"/>
        <xdr:cNvSpPr>
          <a:spLocks/>
        </xdr:cNvSpPr>
      </xdr:nvSpPr>
      <xdr:spPr>
        <a:xfrm>
          <a:off x="723900" y="36928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385" name="Line 361"/>
        <xdr:cNvSpPr>
          <a:spLocks/>
        </xdr:cNvSpPr>
      </xdr:nvSpPr>
      <xdr:spPr>
        <a:xfrm>
          <a:off x="4029075" y="437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386" name="Line 362"/>
        <xdr:cNvSpPr>
          <a:spLocks/>
        </xdr:cNvSpPr>
      </xdr:nvSpPr>
      <xdr:spPr>
        <a:xfrm>
          <a:off x="4029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387" name="Line 363"/>
        <xdr:cNvSpPr>
          <a:spLocks/>
        </xdr:cNvSpPr>
      </xdr:nvSpPr>
      <xdr:spPr>
        <a:xfrm>
          <a:off x="4029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88" name="Line 364"/>
        <xdr:cNvSpPr>
          <a:spLocks/>
        </xdr:cNvSpPr>
      </xdr:nvSpPr>
      <xdr:spPr>
        <a:xfrm>
          <a:off x="40290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89" name="Line 365"/>
        <xdr:cNvSpPr>
          <a:spLocks/>
        </xdr:cNvSpPr>
      </xdr:nvSpPr>
      <xdr:spPr>
        <a:xfrm>
          <a:off x="40290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161925</xdr:rowOff>
    </xdr:from>
    <xdr:to>
      <xdr:col>4</xdr:col>
      <xdr:colOff>0</xdr:colOff>
      <xdr:row>27</xdr:row>
      <xdr:rowOff>161925</xdr:rowOff>
    </xdr:to>
    <xdr:sp>
      <xdr:nvSpPr>
        <xdr:cNvPr id="1390" name="Line 366"/>
        <xdr:cNvSpPr>
          <a:spLocks/>
        </xdr:cNvSpPr>
      </xdr:nvSpPr>
      <xdr:spPr>
        <a:xfrm>
          <a:off x="4029075" y="75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1391" name="Line 367"/>
        <xdr:cNvSpPr>
          <a:spLocks/>
        </xdr:cNvSpPr>
      </xdr:nvSpPr>
      <xdr:spPr>
        <a:xfrm>
          <a:off x="402907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1392" name="Line 368"/>
        <xdr:cNvSpPr>
          <a:spLocks/>
        </xdr:cNvSpPr>
      </xdr:nvSpPr>
      <xdr:spPr>
        <a:xfrm>
          <a:off x="402907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1393" name="Line 369"/>
        <xdr:cNvSpPr>
          <a:spLocks/>
        </xdr:cNvSpPr>
      </xdr:nvSpPr>
      <xdr:spPr>
        <a:xfrm>
          <a:off x="4029075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1394" name="Line 370"/>
        <xdr:cNvSpPr>
          <a:spLocks/>
        </xdr:cNvSpPr>
      </xdr:nvSpPr>
      <xdr:spPr>
        <a:xfrm>
          <a:off x="4029075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333375</xdr:rowOff>
    </xdr:from>
    <xdr:to>
      <xdr:col>4</xdr:col>
      <xdr:colOff>0</xdr:colOff>
      <xdr:row>35</xdr:row>
      <xdr:rowOff>333375</xdr:rowOff>
    </xdr:to>
    <xdr:sp>
      <xdr:nvSpPr>
        <xdr:cNvPr id="1395" name="Line 371"/>
        <xdr:cNvSpPr>
          <a:spLocks/>
        </xdr:cNvSpPr>
      </xdr:nvSpPr>
      <xdr:spPr>
        <a:xfrm>
          <a:off x="402907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333375</xdr:rowOff>
    </xdr:from>
    <xdr:to>
      <xdr:col>4</xdr:col>
      <xdr:colOff>0</xdr:colOff>
      <xdr:row>35</xdr:row>
      <xdr:rowOff>333375</xdr:rowOff>
    </xdr:to>
    <xdr:sp>
      <xdr:nvSpPr>
        <xdr:cNvPr id="1396" name="Line 372"/>
        <xdr:cNvSpPr>
          <a:spLocks/>
        </xdr:cNvSpPr>
      </xdr:nvSpPr>
      <xdr:spPr>
        <a:xfrm>
          <a:off x="402907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161925</xdr:rowOff>
    </xdr:from>
    <xdr:to>
      <xdr:col>4</xdr:col>
      <xdr:colOff>0</xdr:colOff>
      <xdr:row>53</xdr:row>
      <xdr:rowOff>161925</xdr:rowOff>
    </xdr:to>
    <xdr:sp>
      <xdr:nvSpPr>
        <xdr:cNvPr id="1397" name="Line 373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1398" name="Line 374"/>
        <xdr:cNvSpPr>
          <a:spLocks/>
        </xdr:cNvSpPr>
      </xdr:nvSpPr>
      <xdr:spPr>
        <a:xfrm>
          <a:off x="402907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1399" name="Line 375"/>
        <xdr:cNvSpPr>
          <a:spLocks/>
        </xdr:cNvSpPr>
      </xdr:nvSpPr>
      <xdr:spPr>
        <a:xfrm>
          <a:off x="402907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029075" y="1563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029075" y="1563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333375</xdr:rowOff>
    </xdr:from>
    <xdr:to>
      <xdr:col>4</xdr:col>
      <xdr:colOff>0</xdr:colOff>
      <xdr:row>59</xdr:row>
      <xdr:rowOff>333375</xdr:rowOff>
    </xdr:to>
    <xdr:sp>
      <xdr:nvSpPr>
        <xdr:cNvPr id="1402" name="Line 378"/>
        <xdr:cNvSpPr>
          <a:spLocks/>
        </xdr:cNvSpPr>
      </xdr:nvSpPr>
      <xdr:spPr>
        <a:xfrm>
          <a:off x="4029075" y="1645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333375</xdr:rowOff>
    </xdr:from>
    <xdr:to>
      <xdr:col>4</xdr:col>
      <xdr:colOff>0</xdr:colOff>
      <xdr:row>59</xdr:row>
      <xdr:rowOff>333375</xdr:rowOff>
    </xdr:to>
    <xdr:sp>
      <xdr:nvSpPr>
        <xdr:cNvPr id="1403" name="Line 379"/>
        <xdr:cNvSpPr>
          <a:spLocks/>
        </xdr:cNvSpPr>
      </xdr:nvSpPr>
      <xdr:spPr>
        <a:xfrm>
          <a:off x="4029075" y="1645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228600</xdr:rowOff>
    </xdr:from>
    <xdr:to>
      <xdr:col>4</xdr:col>
      <xdr:colOff>0</xdr:colOff>
      <xdr:row>68</xdr:row>
      <xdr:rowOff>228600</xdr:rowOff>
    </xdr:to>
    <xdr:sp>
      <xdr:nvSpPr>
        <xdr:cNvPr id="1404" name="Line 380"/>
        <xdr:cNvSpPr>
          <a:spLocks/>
        </xdr:cNvSpPr>
      </xdr:nvSpPr>
      <xdr:spPr>
        <a:xfrm>
          <a:off x="4029075" y="1887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029075" y="1900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029075" y="1900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02907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02907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135</xdr:row>
      <xdr:rowOff>0</xdr:rowOff>
    </xdr:from>
    <xdr:to>
      <xdr:col>1</xdr:col>
      <xdr:colOff>466725</xdr:colOff>
      <xdr:row>135</xdr:row>
      <xdr:rowOff>0</xdr:rowOff>
    </xdr:to>
    <xdr:sp>
      <xdr:nvSpPr>
        <xdr:cNvPr id="1443" name="Line 419"/>
        <xdr:cNvSpPr>
          <a:spLocks/>
        </xdr:cNvSpPr>
      </xdr:nvSpPr>
      <xdr:spPr>
        <a:xfrm>
          <a:off x="733425" y="36928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1444" name="Line 420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1445" name="Line 421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0290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290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448" name="Line 424"/>
        <xdr:cNvSpPr>
          <a:spLocks/>
        </xdr:cNvSpPr>
      </xdr:nvSpPr>
      <xdr:spPr>
        <a:xfrm>
          <a:off x="4029075" y="3271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449" name="Line 425"/>
        <xdr:cNvSpPr>
          <a:spLocks/>
        </xdr:cNvSpPr>
      </xdr:nvSpPr>
      <xdr:spPr>
        <a:xfrm>
          <a:off x="4029075" y="3271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454" name="Line 430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142875</xdr:rowOff>
    </xdr:from>
    <xdr:to>
      <xdr:col>4</xdr:col>
      <xdr:colOff>0</xdr:colOff>
      <xdr:row>105</xdr:row>
      <xdr:rowOff>142875</xdr:rowOff>
    </xdr:to>
    <xdr:sp>
      <xdr:nvSpPr>
        <xdr:cNvPr id="1478" name="Line 454"/>
        <xdr:cNvSpPr>
          <a:spLocks/>
        </xdr:cNvSpPr>
      </xdr:nvSpPr>
      <xdr:spPr>
        <a:xfrm>
          <a:off x="4029075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16" name="Line 49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7" name="Line 493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8" name="Line 494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9" name="Line 495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0" name="Line 496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1" name="Line 497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2" name="Line 498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523" name="Line 49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524" name="Line 50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525" name="Line 50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526" name="Line 50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527" name="Line 50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528" name="Line 50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529" name="Line 50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530" name="Line 50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531" name="Line 507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532" name="Line 508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533" name="Line 509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534" name="Line 510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535" name="Line 511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536" name="Line 512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537" name="Line 513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538" name="Line 514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39" name="Line 51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40" name="Line 51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41" name="Line 51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42" name="Line 51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43" name="Line 51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44" name="Line 52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45" name="Line 52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46" name="Line 52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47" name="Line 52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48" name="Line 52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49" name="Line 52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50" name="Line 52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51" name="Line 52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52" name="Line 52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53" name="Line 52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54" name="Line 53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55" name="Line 53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56" name="Line 53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57" name="Line 53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58" name="Line 53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59" name="Line 53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60" name="Line 53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61" name="Line 53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562" name="Line 53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135</xdr:row>
      <xdr:rowOff>0</xdr:rowOff>
    </xdr:from>
    <xdr:to>
      <xdr:col>1</xdr:col>
      <xdr:colOff>466725</xdr:colOff>
      <xdr:row>135</xdr:row>
      <xdr:rowOff>0</xdr:rowOff>
    </xdr:to>
    <xdr:sp>
      <xdr:nvSpPr>
        <xdr:cNvPr id="1563" name="Line 539"/>
        <xdr:cNvSpPr>
          <a:spLocks/>
        </xdr:cNvSpPr>
      </xdr:nvSpPr>
      <xdr:spPr>
        <a:xfrm>
          <a:off x="733425" y="36928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135</xdr:row>
      <xdr:rowOff>0</xdr:rowOff>
    </xdr:from>
    <xdr:to>
      <xdr:col>1</xdr:col>
      <xdr:colOff>466725</xdr:colOff>
      <xdr:row>135</xdr:row>
      <xdr:rowOff>0</xdr:rowOff>
    </xdr:to>
    <xdr:sp>
      <xdr:nvSpPr>
        <xdr:cNvPr id="1564" name="Line 540"/>
        <xdr:cNvSpPr>
          <a:spLocks/>
        </xdr:cNvSpPr>
      </xdr:nvSpPr>
      <xdr:spPr>
        <a:xfrm>
          <a:off x="733425" y="36928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135</xdr:row>
      <xdr:rowOff>0</xdr:rowOff>
    </xdr:from>
    <xdr:to>
      <xdr:col>1</xdr:col>
      <xdr:colOff>457200</xdr:colOff>
      <xdr:row>135</xdr:row>
      <xdr:rowOff>0</xdr:rowOff>
    </xdr:to>
    <xdr:sp>
      <xdr:nvSpPr>
        <xdr:cNvPr id="1565" name="Line 541"/>
        <xdr:cNvSpPr>
          <a:spLocks/>
        </xdr:cNvSpPr>
      </xdr:nvSpPr>
      <xdr:spPr>
        <a:xfrm>
          <a:off x="723900" y="36928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566" name="Line 542"/>
        <xdr:cNvSpPr>
          <a:spLocks/>
        </xdr:cNvSpPr>
      </xdr:nvSpPr>
      <xdr:spPr>
        <a:xfrm>
          <a:off x="4029075" y="437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567" name="Line 543"/>
        <xdr:cNvSpPr>
          <a:spLocks/>
        </xdr:cNvSpPr>
      </xdr:nvSpPr>
      <xdr:spPr>
        <a:xfrm>
          <a:off x="4029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568" name="Line 544"/>
        <xdr:cNvSpPr>
          <a:spLocks/>
        </xdr:cNvSpPr>
      </xdr:nvSpPr>
      <xdr:spPr>
        <a:xfrm>
          <a:off x="4029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569" name="Line 545"/>
        <xdr:cNvSpPr>
          <a:spLocks/>
        </xdr:cNvSpPr>
      </xdr:nvSpPr>
      <xdr:spPr>
        <a:xfrm>
          <a:off x="40290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570" name="Line 546"/>
        <xdr:cNvSpPr>
          <a:spLocks/>
        </xdr:cNvSpPr>
      </xdr:nvSpPr>
      <xdr:spPr>
        <a:xfrm>
          <a:off x="40290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161925</xdr:rowOff>
    </xdr:from>
    <xdr:to>
      <xdr:col>4</xdr:col>
      <xdr:colOff>0</xdr:colOff>
      <xdr:row>27</xdr:row>
      <xdr:rowOff>161925</xdr:rowOff>
    </xdr:to>
    <xdr:sp>
      <xdr:nvSpPr>
        <xdr:cNvPr id="1571" name="Line 547"/>
        <xdr:cNvSpPr>
          <a:spLocks/>
        </xdr:cNvSpPr>
      </xdr:nvSpPr>
      <xdr:spPr>
        <a:xfrm>
          <a:off x="4029075" y="75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1572" name="Line 548"/>
        <xdr:cNvSpPr>
          <a:spLocks/>
        </xdr:cNvSpPr>
      </xdr:nvSpPr>
      <xdr:spPr>
        <a:xfrm>
          <a:off x="402907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1573" name="Line 549"/>
        <xdr:cNvSpPr>
          <a:spLocks/>
        </xdr:cNvSpPr>
      </xdr:nvSpPr>
      <xdr:spPr>
        <a:xfrm>
          <a:off x="402907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1574" name="Line 550"/>
        <xdr:cNvSpPr>
          <a:spLocks/>
        </xdr:cNvSpPr>
      </xdr:nvSpPr>
      <xdr:spPr>
        <a:xfrm>
          <a:off x="4029075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1575" name="Line 551"/>
        <xdr:cNvSpPr>
          <a:spLocks/>
        </xdr:cNvSpPr>
      </xdr:nvSpPr>
      <xdr:spPr>
        <a:xfrm>
          <a:off x="4029075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333375</xdr:rowOff>
    </xdr:from>
    <xdr:to>
      <xdr:col>4</xdr:col>
      <xdr:colOff>0</xdr:colOff>
      <xdr:row>35</xdr:row>
      <xdr:rowOff>333375</xdr:rowOff>
    </xdr:to>
    <xdr:sp>
      <xdr:nvSpPr>
        <xdr:cNvPr id="1576" name="Line 552"/>
        <xdr:cNvSpPr>
          <a:spLocks/>
        </xdr:cNvSpPr>
      </xdr:nvSpPr>
      <xdr:spPr>
        <a:xfrm>
          <a:off x="402907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333375</xdr:rowOff>
    </xdr:from>
    <xdr:to>
      <xdr:col>4</xdr:col>
      <xdr:colOff>0</xdr:colOff>
      <xdr:row>35</xdr:row>
      <xdr:rowOff>333375</xdr:rowOff>
    </xdr:to>
    <xdr:sp>
      <xdr:nvSpPr>
        <xdr:cNvPr id="1577" name="Line 553"/>
        <xdr:cNvSpPr>
          <a:spLocks/>
        </xdr:cNvSpPr>
      </xdr:nvSpPr>
      <xdr:spPr>
        <a:xfrm>
          <a:off x="402907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161925</xdr:rowOff>
    </xdr:from>
    <xdr:to>
      <xdr:col>4</xdr:col>
      <xdr:colOff>0</xdr:colOff>
      <xdr:row>53</xdr:row>
      <xdr:rowOff>161925</xdr:rowOff>
    </xdr:to>
    <xdr:sp>
      <xdr:nvSpPr>
        <xdr:cNvPr id="1578" name="Line 554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1579" name="Line 555"/>
        <xdr:cNvSpPr>
          <a:spLocks/>
        </xdr:cNvSpPr>
      </xdr:nvSpPr>
      <xdr:spPr>
        <a:xfrm>
          <a:off x="402907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1580" name="Line 556"/>
        <xdr:cNvSpPr>
          <a:spLocks/>
        </xdr:cNvSpPr>
      </xdr:nvSpPr>
      <xdr:spPr>
        <a:xfrm>
          <a:off x="402907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581" name="Line 557"/>
        <xdr:cNvSpPr>
          <a:spLocks/>
        </xdr:cNvSpPr>
      </xdr:nvSpPr>
      <xdr:spPr>
        <a:xfrm>
          <a:off x="4029075" y="1563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582" name="Line 558"/>
        <xdr:cNvSpPr>
          <a:spLocks/>
        </xdr:cNvSpPr>
      </xdr:nvSpPr>
      <xdr:spPr>
        <a:xfrm>
          <a:off x="4029075" y="1563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333375</xdr:rowOff>
    </xdr:from>
    <xdr:to>
      <xdr:col>4</xdr:col>
      <xdr:colOff>0</xdr:colOff>
      <xdr:row>59</xdr:row>
      <xdr:rowOff>333375</xdr:rowOff>
    </xdr:to>
    <xdr:sp>
      <xdr:nvSpPr>
        <xdr:cNvPr id="1583" name="Line 559"/>
        <xdr:cNvSpPr>
          <a:spLocks/>
        </xdr:cNvSpPr>
      </xdr:nvSpPr>
      <xdr:spPr>
        <a:xfrm>
          <a:off x="4029075" y="1645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333375</xdr:rowOff>
    </xdr:from>
    <xdr:to>
      <xdr:col>4</xdr:col>
      <xdr:colOff>0</xdr:colOff>
      <xdr:row>59</xdr:row>
      <xdr:rowOff>333375</xdr:rowOff>
    </xdr:to>
    <xdr:sp>
      <xdr:nvSpPr>
        <xdr:cNvPr id="1584" name="Line 560"/>
        <xdr:cNvSpPr>
          <a:spLocks/>
        </xdr:cNvSpPr>
      </xdr:nvSpPr>
      <xdr:spPr>
        <a:xfrm>
          <a:off x="4029075" y="1645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228600</xdr:rowOff>
    </xdr:from>
    <xdr:to>
      <xdr:col>4</xdr:col>
      <xdr:colOff>0</xdr:colOff>
      <xdr:row>68</xdr:row>
      <xdr:rowOff>228600</xdr:rowOff>
    </xdr:to>
    <xdr:sp>
      <xdr:nvSpPr>
        <xdr:cNvPr id="1585" name="Line 561"/>
        <xdr:cNvSpPr>
          <a:spLocks/>
        </xdr:cNvSpPr>
      </xdr:nvSpPr>
      <xdr:spPr>
        <a:xfrm>
          <a:off x="4029075" y="1887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586" name="Line 562"/>
        <xdr:cNvSpPr>
          <a:spLocks/>
        </xdr:cNvSpPr>
      </xdr:nvSpPr>
      <xdr:spPr>
        <a:xfrm>
          <a:off x="4029075" y="1900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587" name="Line 563"/>
        <xdr:cNvSpPr>
          <a:spLocks/>
        </xdr:cNvSpPr>
      </xdr:nvSpPr>
      <xdr:spPr>
        <a:xfrm>
          <a:off x="4029075" y="1900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402907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402907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590" name="Line 56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591" name="Line 56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592" name="Line 56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593" name="Line 56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594" name="Line 57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595" name="Line 57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596" name="Line 57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597" name="Line 57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598" name="Line 57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599" name="Line 57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600" name="Line 57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601" name="Line 57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602" name="Line 57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603" name="Line 57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604" name="Line 58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605" name="Line 58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606" name="Line 58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607" name="Line 583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608" name="Line 584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09" name="Line 58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10" name="Line 58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11" name="Line 58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12" name="Line 58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13" name="Line 58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14" name="Line 59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15" name="Line 59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16" name="Line 59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17" name="Line 59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18" name="Line 59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19" name="Line 59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20" name="Line 59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21" name="Line 59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22" name="Line 59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23" name="Line 59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135</xdr:row>
      <xdr:rowOff>0</xdr:rowOff>
    </xdr:from>
    <xdr:to>
      <xdr:col>1</xdr:col>
      <xdr:colOff>466725</xdr:colOff>
      <xdr:row>135</xdr:row>
      <xdr:rowOff>0</xdr:rowOff>
    </xdr:to>
    <xdr:sp>
      <xdr:nvSpPr>
        <xdr:cNvPr id="1624" name="Line 600"/>
        <xdr:cNvSpPr>
          <a:spLocks/>
        </xdr:cNvSpPr>
      </xdr:nvSpPr>
      <xdr:spPr>
        <a:xfrm>
          <a:off x="733425" y="36928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1625" name="Line 601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1626" name="Line 602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40290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40290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629" name="Line 605"/>
        <xdr:cNvSpPr>
          <a:spLocks/>
        </xdr:cNvSpPr>
      </xdr:nvSpPr>
      <xdr:spPr>
        <a:xfrm>
          <a:off x="4029075" y="3271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630" name="Line 606"/>
        <xdr:cNvSpPr>
          <a:spLocks/>
        </xdr:cNvSpPr>
      </xdr:nvSpPr>
      <xdr:spPr>
        <a:xfrm>
          <a:off x="4029075" y="3271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31" name="Line 60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32" name="Line 60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33" name="Line 60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34" name="Line 61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635" name="Line 611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6" name="Line 612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7" name="Line 613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8" name="Line 614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9" name="Line 615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0" name="Line 616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1" name="Line 617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2" name="Line 618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3" name="Line 619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4" name="Line 620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5" name="Line 621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646" name="Line 62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647" name="Line 62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648" name="Line 62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649" name="Line 62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650" name="Line 62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651" name="Line 62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52" name="Line 628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653" name="Line 62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654" name="Line 63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655" name="Line 63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656" name="Line 63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657" name="Line 63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658" name="Line 63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142875</xdr:rowOff>
    </xdr:from>
    <xdr:to>
      <xdr:col>4</xdr:col>
      <xdr:colOff>0</xdr:colOff>
      <xdr:row>105</xdr:row>
      <xdr:rowOff>142875</xdr:rowOff>
    </xdr:to>
    <xdr:sp>
      <xdr:nvSpPr>
        <xdr:cNvPr id="1659" name="Line 635"/>
        <xdr:cNvSpPr>
          <a:spLocks/>
        </xdr:cNvSpPr>
      </xdr:nvSpPr>
      <xdr:spPr>
        <a:xfrm>
          <a:off x="4029075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660" name="Line 636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661" name="Line 637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662" name="Line 638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663" name="Line 639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664" name="Line 640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665" name="Line 641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666" name="Line 642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667" name="Line 643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68" name="Line 64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69" name="Line 64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70" name="Line 64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71" name="Line 64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72" name="Line 64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73" name="Line 64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74" name="Line 65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75" name="Line 65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76" name="Line 65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77" name="Line 65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78" name="Line 65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79" name="Line 65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80" name="Line 65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81" name="Line 65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82" name="Line 65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83" name="Line 65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84" name="Line 66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85" name="Line 66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86" name="Line 66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87" name="Line 66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88" name="Line 66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89" name="Line 66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90" name="Line 66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91" name="Line 66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92" name="Line 66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93" name="Line 66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94" name="Line 67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95" name="Line 67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96" name="Line 67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97" name="Line 67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98" name="Line 674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99" name="Line 675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0" name="Line 676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1" name="Line 677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2" name="Line 678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3" name="Line 679"/>
        <xdr:cNvSpPr>
          <a:spLocks/>
        </xdr:cNvSpPr>
      </xdr:nvSpPr>
      <xdr:spPr>
        <a:xfrm>
          <a:off x="40290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04" name="Line 68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05" name="Line 68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06" name="Line 68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07" name="Line 68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08" name="Line 68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09" name="Line 68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10" name="Line 68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11" name="Line 68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712" name="Line 688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713" name="Line 689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714" name="Line 690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715" name="Line 691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716" name="Line 692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717" name="Line 693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718" name="Line 694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1719" name="Line 695"/>
        <xdr:cNvSpPr>
          <a:spLocks/>
        </xdr:cNvSpPr>
      </xdr:nvSpPr>
      <xdr:spPr>
        <a:xfrm>
          <a:off x="40290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20" name="Line 69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21" name="Line 69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22" name="Line 69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23" name="Line 69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24" name="Line 70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25" name="Line 70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26" name="Line 70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27" name="Line 70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28" name="Line 70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29" name="Line 70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30" name="Line 70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31" name="Line 70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32" name="Line 70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33" name="Line 70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34" name="Line 71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35" name="Line 71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36" name="Line 71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37" name="Line 71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38" name="Line 71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39" name="Line 71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40" name="Line 71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41" name="Line 71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42" name="Line 71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43" name="Line 71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744" name="Line 720"/>
        <xdr:cNvSpPr>
          <a:spLocks/>
        </xdr:cNvSpPr>
      </xdr:nvSpPr>
      <xdr:spPr>
        <a:xfrm>
          <a:off x="4029075" y="437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745" name="Line 721"/>
        <xdr:cNvSpPr>
          <a:spLocks/>
        </xdr:cNvSpPr>
      </xdr:nvSpPr>
      <xdr:spPr>
        <a:xfrm>
          <a:off x="4029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746" name="Line 722"/>
        <xdr:cNvSpPr>
          <a:spLocks/>
        </xdr:cNvSpPr>
      </xdr:nvSpPr>
      <xdr:spPr>
        <a:xfrm>
          <a:off x="4029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747" name="Line 723"/>
        <xdr:cNvSpPr>
          <a:spLocks/>
        </xdr:cNvSpPr>
      </xdr:nvSpPr>
      <xdr:spPr>
        <a:xfrm>
          <a:off x="40290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748" name="Line 724"/>
        <xdr:cNvSpPr>
          <a:spLocks/>
        </xdr:cNvSpPr>
      </xdr:nvSpPr>
      <xdr:spPr>
        <a:xfrm>
          <a:off x="40290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161925</xdr:rowOff>
    </xdr:from>
    <xdr:to>
      <xdr:col>4</xdr:col>
      <xdr:colOff>0</xdr:colOff>
      <xdr:row>27</xdr:row>
      <xdr:rowOff>161925</xdr:rowOff>
    </xdr:to>
    <xdr:sp>
      <xdr:nvSpPr>
        <xdr:cNvPr id="1749" name="Line 725"/>
        <xdr:cNvSpPr>
          <a:spLocks/>
        </xdr:cNvSpPr>
      </xdr:nvSpPr>
      <xdr:spPr>
        <a:xfrm>
          <a:off x="4029075" y="75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1750" name="Line 726"/>
        <xdr:cNvSpPr>
          <a:spLocks/>
        </xdr:cNvSpPr>
      </xdr:nvSpPr>
      <xdr:spPr>
        <a:xfrm>
          <a:off x="402907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1751" name="Line 727"/>
        <xdr:cNvSpPr>
          <a:spLocks/>
        </xdr:cNvSpPr>
      </xdr:nvSpPr>
      <xdr:spPr>
        <a:xfrm>
          <a:off x="402907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1752" name="Line 728"/>
        <xdr:cNvSpPr>
          <a:spLocks/>
        </xdr:cNvSpPr>
      </xdr:nvSpPr>
      <xdr:spPr>
        <a:xfrm>
          <a:off x="4029075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1753" name="Line 729"/>
        <xdr:cNvSpPr>
          <a:spLocks/>
        </xdr:cNvSpPr>
      </xdr:nvSpPr>
      <xdr:spPr>
        <a:xfrm>
          <a:off x="4029075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333375</xdr:rowOff>
    </xdr:from>
    <xdr:to>
      <xdr:col>4</xdr:col>
      <xdr:colOff>0</xdr:colOff>
      <xdr:row>35</xdr:row>
      <xdr:rowOff>333375</xdr:rowOff>
    </xdr:to>
    <xdr:sp>
      <xdr:nvSpPr>
        <xdr:cNvPr id="1754" name="Line 730"/>
        <xdr:cNvSpPr>
          <a:spLocks/>
        </xdr:cNvSpPr>
      </xdr:nvSpPr>
      <xdr:spPr>
        <a:xfrm>
          <a:off x="402907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333375</xdr:rowOff>
    </xdr:from>
    <xdr:to>
      <xdr:col>4</xdr:col>
      <xdr:colOff>0</xdr:colOff>
      <xdr:row>35</xdr:row>
      <xdr:rowOff>333375</xdr:rowOff>
    </xdr:to>
    <xdr:sp>
      <xdr:nvSpPr>
        <xdr:cNvPr id="1755" name="Line 731"/>
        <xdr:cNvSpPr>
          <a:spLocks/>
        </xdr:cNvSpPr>
      </xdr:nvSpPr>
      <xdr:spPr>
        <a:xfrm>
          <a:off x="402907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161925</xdr:rowOff>
    </xdr:from>
    <xdr:to>
      <xdr:col>4</xdr:col>
      <xdr:colOff>0</xdr:colOff>
      <xdr:row>53</xdr:row>
      <xdr:rowOff>161925</xdr:rowOff>
    </xdr:to>
    <xdr:sp>
      <xdr:nvSpPr>
        <xdr:cNvPr id="1756" name="Line 732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1757" name="Line 733"/>
        <xdr:cNvSpPr>
          <a:spLocks/>
        </xdr:cNvSpPr>
      </xdr:nvSpPr>
      <xdr:spPr>
        <a:xfrm>
          <a:off x="402907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1758" name="Line 734"/>
        <xdr:cNvSpPr>
          <a:spLocks/>
        </xdr:cNvSpPr>
      </xdr:nvSpPr>
      <xdr:spPr>
        <a:xfrm>
          <a:off x="402907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759" name="Line 735"/>
        <xdr:cNvSpPr>
          <a:spLocks/>
        </xdr:cNvSpPr>
      </xdr:nvSpPr>
      <xdr:spPr>
        <a:xfrm>
          <a:off x="4029075" y="1563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760" name="Line 736"/>
        <xdr:cNvSpPr>
          <a:spLocks/>
        </xdr:cNvSpPr>
      </xdr:nvSpPr>
      <xdr:spPr>
        <a:xfrm>
          <a:off x="4029075" y="1563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333375</xdr:rowOff>
    </xdr:from>
    <xdr:to>
      <xdr:col>4</xdr:col>
      <xdr:colOff>0</xdr:colOff>
      <xdr:row>59</xdr:row>
      <xdr:rowOff>333375</xdr:rowOff>
    </xdr:to>
    <xdr:sp>
      <xdr:nvSpPr>
        <xdr:cNvPr id="1761" name="Line 737"/>
        <xdr:cNvSpPr>
          <a:spLocks/>
        </xdr:cNvSpPr>
      </xdr:nvSpPr>
      <xdr:spPr>
        <a:xfrm>
          <a:off x="4029075" y="1645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333375</xdr:rowOff>
    </xdr:from>
    <xdr:to>
      <xdr:col>4</xdr:col>
      <xdr:colOff>0</xdr:colOff>
      <xdr:row>59</xdr:row>
      <xdr:rowOff>333375</xdr:rowOff>
    </xdr:to>
    <xdr:sp>
      <xdr:nvSpPr>
        <xdr:cNvPr id="1762" name="Line 738"/>
        <xdr:cNvSpPr>
          <a:spLocks/>
        </xdr:cNvSpPr>
      </xdr:nvSpPr>
      <xdr:spPr>
        <a:xfrm>
          <a:off x="4029075" y="1645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228600</xdr:rowOff>
    </xdr:from>
    <xdr:to>
      <xdr:col>4</xdr:col>
      <xdr:colOff>0</xdr:colOff>
      <xdr:row>68</xdr:row>
      <xdr:rowOff>228600</xdr:rowOff>
    </xdr:to>
    <xdr:sp>
      <xdr:nvSpPr>
        <xdr:cNvPr id="1763" name="Line 739"/>
        <xdr:cNvSpPr>
          <a:spLocks/>
        </xdr:cNvSpPr>
      </xdr:nvSpPr>
      <xdr:spPr>
        <a:xfrm>
          <a:off x="4029075" y="1887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764" name="Line 740"/>
        <xdr:cNvSpPr>
          <a:spLocks/>
        </xdr:cNvSpPr>
      </xdr:nvSpPr>
      <xdr:spPr>
        <a:xfrm>
          <a:off x="4029075" y="1900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765" name="Line 741"/>
        <xdr:cNvSpPr>
          <a:spLocks/>
        </xdr:cNvSpPr>
      </xdr:nvSpPr>
      <xdr:spPr>
        <a:xfrm>
          <a:off x="4029075" y="1900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402907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402907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68" name="Line 74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69" name="Line 74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70" name="Line 74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71" name="Line 74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72" name="Line 74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73" name="Line 74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74" name="Line 75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75" name="Line 751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76" name="Line 752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77" name="Line 753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78" name="Line 754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79" name="Line 755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80" name="Line 756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81" name="Line 757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82" name="Line 758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83" name="Line 759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84" name="Line 760"/>
        <xdr:cNvSpPr>
          <a:spLocks/>
        </xdr:cNvSpPr>
      </xdr:nvSpPr>
      <xdr:spPr>
        <a:xfrm>
          <a:off x="40290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785" name="Line 761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786" name="Line 762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87" name="Line 76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88" name="Line 76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89" name="Line 76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90" name="Line 76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91" name="Line 76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92" name="Line 768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93" name="Line 769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94" name="Line 770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95" name="Line 771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96" name="Line 772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97" name="Line 773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98" name="Line 77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99" name="Line 77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800" name="Line 77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801" name="Line 77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1802" name="Line 778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1803" name="Line 779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40290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40290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806" name="Line 782"/>
        <xdr:cNvSpPr>
          <a:spLocks/>
        </xdr:cNvSpPr>
      </xdr:nvSpPr>
      <xdr:spPr>
        <a:xfrm>
          <a:off x="4029075" y="3271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807" name="Line 783"/>
        <xdr:cNvSpPr>
          <a:spLocks/>
        </xdr:cNvSpPr>
      </xdr:nvSpPr>
      <xdr:spPr>
        <a:xfrm>
          <a:off x="4029075" y="3271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808" name="Line 784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809" name="Line 785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810" name="Line 786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811" name="Line 787"/>
        <xdr:cNvSpPr>
          <a:spLocks/>
        </xdr:cNvSpPr>
      </xdr:nvSpPr>
      <xdr:spPr>
        <a:xfrm>
          <a:off x="4029075" y="361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12" name="Line 788"/>
        <xdr:cNvSpPr>
          <a:spLocks/>
        </xdr:cNvSpPr>
      </xdr:nvSpPr>
      <xdr:spPr>
        <a:xfrm>
          <a:off x="4029075" y="2761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13" name="Line 789"/>
        <xdr:cNvSpPr>
          <a:spLocks/>
        </xdr:cNvSpPr>
      </xdr:nvSpPr>
      <xdr:spPr>
        <a:xfrm>
          <a:off x="4029075" y="2761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14" name="Line 790"/>
        <xdr:cNvSpPr>
          <a:spLocks/>
        </xdr:cNvSpPr>
      </xdr:nvSpPr>
      <xdr:spPr>
        <a:xfrm>
          <a:off x="4029075" y="2761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15" name="Line 791"/>
        <xdr:cNvSpPr>
          <a:spLocks/>
        </xdr:cNvSpPr>
      </xdr:nvSpPr>
      <xdr:spPr>
        <a:xfrm>
          <a:off x="4029075" y="2761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16" name="Line 792"/>
        <xdr:cNvSpPr>
          <a:spLocks/>
        </xdr:cNvSpPr>
      </xdr:nvSpPr>
      <xdr:spPr>
        <a:xfrm>
          <a:off x="4029075" y="2761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17" name="Line 793"/>
        <xdr:cNvSpPr>
          <a:spLocks/>
        </xdr:cNvSpPr>
      </xdr:nvSpPr>
      <xdr:spPr>
        <a:xfrm>
          <a:off x="4029075" y="2761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18" name="Line 794"/>
        <xdr:cNvSpPr>
          <a:spLocks/>
        </xdr:cNvSpPr>
      </xdr:nvSpPr>
      <xdr:spPr>
        <a:xfrm>
          <a:off x="4029075" y="2761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19" name="Line 795"/>
        <xdr:cNvSpPr>
          <a:spLocks/>
        </xdr:cNvSpPr>
      </xdr:nvSpPr>
      <xdr:spPr>
        <a:xfrm>
          <a:off x="4029075" y="2761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20" name="Line 796"/>
        <xdr:cNvSpPr>
          <a:spLocks/>
        </xdr:cNvSpPr>
      </xdr:nvSpPr>
      <xdr:spPr>
        <a:xfrm>
          <a:off x="4029075" y="2761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21" name="Line 797"/>
        <xdr:cNvSpPr>
          <a:spLocks/>
        </xdr:cNvSpPr>
      </xdr:nvSpPr>
      <xdr:spPr>
        <a:xfrm>
          <a:off x="4029075" y="2761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22" name="Line 798"/>
        <xdr:cNvSpPr>
          <a:spLocks/>
        </xdr:cNvSpPr>
      </xdr:nvSpPr>
      <xdr:spPr>
        <a:xfrm>
          <a:off x="4029075" y="2761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23" name="Line 799"/>
        <xdr:cNvSpPr>
          <a:spLocks/>
        </xdr:cNvSpPr>
      </xdr:nvSpPr>
      <xdr:spPr>
        <a:xfrm>
          <a:off x="4029075" y="2761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24" name="Line 800"/>
        <xdr:cNvSpPr>
          <a:spLocks/>
        </xdr:cNvSpPr>
      </xdr:nvSpPr>
      <xdr:spPr>
        <a:xfrm>
          <a:off x="4029075" y="2761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25" name="Line 801"/>
        <xdr:cNvSpPr>
          <a:spLocks/>
        </xdr:cNvSpPr>
      </xdr:nvSpPr>
      <xdr:spPr>
        <a:xfrm>
          <a:off x="4029075" y="2761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26" name="Line 802"/>
        <xdr:cNvSpPr>
          <a:spLocks/>
        </xdr:cNvSpPr>
      </xdr:nvSpPr>
      <xdr:spPr>
        <a:xfrm>
          <a:off x="4029075" y="2761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27" name="Line 803"/>
        <xdr:cNvSpPr>
          <a:spLocks/>
        </xdr:cNvSpPr>
      </xdr:nvSpPr>
      <xdr:spPr>
        <a:xfrm>
          <a:off x="4029075" y="2761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28" name="Line 804"/>
        <xdr:cNvSpPr>
          <a:spLocks/>
        </xdr:cNvSpPr>
      </xdr:nvSpPr>
      <xdr:spPr>
        <a:xfrm>
          <a:off x="4029075" y="2761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29" name="Line 805"/>
        <xdr:cNvSpPr>
          <a:spLocks/>
        </xdr:cNvSpPr>
      </xdr:nvSpPr>
      <xdr:spPr>
        <a:xfrm>
          <a:off x="4029075" y="2761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30" name="Line 806"/>
        <xdr:cNvSpPr>
          <a:spLocks/>
        </xdr:cNvSpPr>
      </xdr:nvSpPr>
      <xdr:spPr>
        <a:xfrm>
          <a:off x="4029075" y="2761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31" name="Line 807"/>
        <xdr:cNvSpPr>
          <a:spLocks/>
        </xdr:cNvSpPr>
      </xdr:nvSpPr>
      <xdr:spPr>
        <a:xfrm>
          <a:off x="4029075" y="2761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2" name="Line 808"/>
        <xdr:cNvSpPr>
          <a:spLocks/>
        </xdr:cNvSpPr>
      </xdr:nvSpPr>
      <xdr:spPr>
        <a:xfrm>
          <a:off x="4029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3" name="Line 809"/>
        <xdr:cNvSpPr>
          <a:spLocks/>
        </xdr:cNvSpPr>
      </xdr:nvSpPr>
      <xdr:spPr>
        <a:xfrm>
          <a:off x="4029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4" name="Line 810"/>
        <xdr:cNvSpPr>
          <a:spLocks/>
        </xdr:cNvSpPr>
      </xdr:nvSpPr>
      <xdr:spPr>
        <a:xfrm>
          <a:off x="4029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5" name="Line 811"/>
        <xdr:cNvSpPr>
          <a:spLocks/>
        </xdr:cNvSpPr>
      </xdr:nvSpPr>
      <xdr:spPr>
        <a:xfrm>
          <a:off x="4029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6" name="Line 812"/>
        <xdr:cNvSpPr>
          <a:spLocks/>
        </xdr:cNvSpPr>
      </xdr:nvSpPr>
      <xdr:spPr>
        <a:xfrm>
          <a:off x="4029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837" name="Line 813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838" name="Line 814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839" name="Line 815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840" name="Line 816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841" name="Line 817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842" name="Line 818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843" name="Line 819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844" name="Line 820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845" name="Line 821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846" name="Line 822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847" name="Line 823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848" name="Line 824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849" name="Line 825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850" name="Line 826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851" name="Line 827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852" name="Line 828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853" name="Line 829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854" name="Line 830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855" name="Line 831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856" name="Line 832"/>
        <xdr:cNvSpPr>
          <a:spLocks/>
        </xdr:cNvSpPr>
      </xdr:nvSpPr>
      <xdr:spPr>
        <a:xfrm>
          <a:off x="402907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857" name="Line 833"/>
        <xdr:cNvSpPr>
          <a:spLocks/>
        </xdr:cNvSpPr>
      </xdr:nvSpPr>
      <xdr:spPr>
        <a:xfrm>
          <a:off x="4029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858" name="Line 834"/>
        <xdr:cNvSpPr>
          <a:spLocks/>
        </xdr:cNvSpPr>
      </xdr:nvSpPr>
      <xdr:spPr>
        <a:xfrm>
          <a:off x="4029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4029075" y="2777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4029075" y="2777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861" name="Line 837"/>
        <xdr:cNvSpPr>
          <a:spLocks/>
        </xdr:cNvSpPr>
      </xdr:nvSpPr>
      <xdr:spPr>
        <a:xfrm>
          <a:off x="4029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862" name="Line 838"/>
        <xdr:cNvSpPr>
          <a:spLocks/>
        </xdr:cNvSpPr>
      </xdr:nvSpPr>
      <xdr:spPr>
        <a:xfrm>
          <a:off x="4029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4029075" y="2777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4029075" y="2777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865" name="Line 841"/>
        <xdr:cNvSpPr>
          <a:spLocks/>
        </xdr:cNvSpPr>
      </xdr:nvSpPr>
      <xdr:spPr>
        <a:xfrm>
          <a:off x="4029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866" name="Line 842"/>
        <xdr:cNvSpPr>
          <a:spLocks/>
        </xdr:cNvSpPr>
      </xdr:nvSpPr>
      <xdr:spPr>
        <a:xfrm>
          <a:off x="4029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4029075" y="2777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4029075" y="2777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869" name="Line 845"/>
        <xdr:cNvSpPr>
          <a:spLocks/>
        </xdr:cNvSpPr>
      </xdr:nvSpPr>
      <xdr:spPr>
        <a:xfrm>
          <a:off x="4029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870" name="Line 846"/>
        <xdr:cNvSpPr>
          <a:spLocks/>
        </xdr:cNvSpPr>
      </xdr:nvSpPr>
      <xdr:spPr>
        <a:xfrm>
          <a:off x="4029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4029075" y="2777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4029075" y="2777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873" name="Line 849"/>
        <xdr:cNvSpPr>
          <a:spLocks/>
        </xdr:cNvSpPr>
      </xdr:nvSpPr>
      <xdr:spPr>
        <a:xfrm>
          <a:off x="4029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874" name="Line 850"/>
        <xdr:cNvSpPr>
          <a:spLocks/>
        </xdr:cNvSpPr>
      </xdr:nvSpPr>
      <xdr:spPr>
        <a:xfrm>
          <a:off x="4029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4029075" y="2777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4029075" y="2777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877" name="Line 853"/>
        <xdr:cNvSpPr>
          <a:spLocks/>
        </xdr:cNvSpPr>
      </xdr:nvSpPr>
      <xdr:spPr>
        <a:xfrm>
          <a:off x="4029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878" name="Line 854"/>
        <xdr:cNvSpPr>
          <a:spLocks/>
        </xdr:cNvSpPr>
      </xdr:nvSpPr>
      <xdr:spPr>
        <a:xfrm>
          <a:off x="4029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4029075" y="2777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4029075" y="2777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881" name="Line 857"/>
        <xdr:cNvSpPr>
          <a:spLocks/>
        </xdr:cNvSpPr>
      </xdr:nvSpPr>
      <xdr:spPr>
        <a:xfrm>
          <a:off x="4029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882" name="Line 858"/>
        <xdr:cNvSpPr>
          <a:spLocks/>
        </xdr:cNvSpPr>
      </xdr:nvSpPr>
      <xdr:spPr>
        <a:xfrm>
          <a:off x="4029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4029075" y="2777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4029075" y="2777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885" name="Line 861"/>
        <xdr:cNvSpPr>
          <a:spLocks/>
        </xdr:cNvSpPr>
      </xdr:nvSpPr>
      <xdr:spPr>
        <a:xfrm>
          <a:off x="4029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886" name="Line 862"/>
        <xdr:cNvSpPr>
          <a:spLocks/>
        </xdr:cNvSpPr>
      </xdr:nvSpPr>
      <xdr:spPr>
        <a:xfrm>
          <a:off x="4029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4029075" y="2777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4029075" y="2777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889" name="Line 865"/>
        <xdr:cNvSpPr>
          <a:spLocks/>
        </xdr:cNvSpPr>
      </xdr:nvSpPr>
      <xdr:spPr>
        <a:xfrm>
          <a:off x="4029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890" name="Line 866"/>
        <xdr:cNvSpPr>
          <a:spLocks/>
        </xdr:cNvSpPr>
      </xdr:nvSpPr>
      <xdr:spPr>
        <a:xfrm>
          <a:off x="4029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4029075" y="2777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4029075" y="2777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893" name="Line 869"/>
        <xdr:cNvSpPr>
          <a:spLocks/>
        </xdr:cNvSpPr>
      </xdr:nvSpPr>
      <xdr:spPr>
        <a:xfrm>
          <a:off x="4029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894" name="Line 870"/>
        <xdr:cNvSpPr>
          <a:spLocks/>
        </xdr:cNvSpPr>
      </xdr:nvSpPr>
      <xdr:spPr>
        <a:xfrm>
          <a:off x="4029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4029075" y="2777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4029075" y="2777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152400</xdr:rowOff>
    </xdr:from>
    <xdr:to>
      <xdr:col>4</xdr:col>
      <xdr:colOff>0</xdr:colOff>
      <xdr:row>106</xdr:row>
      <xdr:rowOff>152400</xdr:rowOff>
    </xdr:to>
    <xdr:sp>
      <xdr:nvSpPr>
        <xdr:cNvPr id="1897" name="Line 873"/>
        <xdr:cNvSpPr>
          <a:spLocks/>
        </xdr:cNvSpPr>
      </xdr:nvSpPr>
      <xdr:spPr>
        <a:xfrm>
          <a:off x="4029075" y="2968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152400</xdr:rowOff>
    </xdr:from>
    <xdr:to>
      <xdr:col>4</xdr:col>
      <xdr:colOff>0</xdr:colOff>
      <xdr:row>106</xdr:row>
      <xdr:rowOff>152400</xdr:rowOff>
    </xdr:to>
    <xdr:sp>
      <xdr:nvSpPr>
        <xdr:cNvPr id="1898" name="Line 874"/>
        <xdr:cNvSpPr>
          <a:spLocks/>
        </xdr:cNvSpPr>
      </xdr:nvSpPr>
      <xdr:spPr>
        <a:xfrm>
          <a:off x="4029075" y="2968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99" name="Line 875"/>
        <xdr:cNvSpPr>
          <a:spLocks/>
        </xdr:cNvSpPr>
      </xdr:nvSpPr>
      <xdr:spPr>
        <a:xfrm>
          <a:off x="4029075" y="2973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900" name="Line 876"/>
        <xdr:cNvSpPr>
          <a:spLocks/>
        </xdr:cNvSpPr>
      </xdr:nvSpPr>
      <xdr:spPr>
        <a:xfrm>
          <a:off x="4029075" y="2973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152400</xdr:rowOff>
    </xdr:from>
    <xdr:to>
      <xdr:col>4</xdr:col>
      <xdr:colOff>0</xdr:colOff>
      <xdr:row>106</xdr:row>
      <xdr:rowOff>152400</xdr:rowOff>
    </xdr:to>
    <xdr:sp>
      <xdr:nvSpPr>
        <xdr:cNvPr id="1901" name="Line 877"/>
        <xdr:cNvSpPr>
          <a:spLocks/>
        </xdr:cNvSpPr>
      </xdr:nvSpPr>
      <xdr:spPr>
        <a:xfrm>
          <a:off x="4029075" y="2968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152400</xdr:rowOff>
    </xdr:from>
    <xdr:to>
      <xdr:col>4</xdr:col>
      <xdr:colOff>0</xdr:colOff>
      <xdr:row>106</xdr:row>
      <xdr:rowOff>152400</xdr:rowOff>
    </xdr:to>
    <xdr:sp>
      <xdr:nvSpPr>
        <xdr:cNvPr id="1902" name="Line 878"/>
        <xdr:cNvSpPr>
          <a:spLocks/>
        </xdr:cNvSpPr>
      </xdr:nvSpPr>
      <xdr:spPr>
        <a:xfrm>
          <a:off x="4029075" y="2968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903" name="Line 879"/>
        <xdr:cNvSpPr>
          <a:spLocks/>
        </xdr:cNvSpPr>
      </xdr:nvSpPr>
      <xdr:spPr>
        <a:xfrm>
          <a:off x="4029075" y="2973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904" name="Line 880"/>
        <xdr:cNvSpPr>
          <a:spLocks/>
        </xdr:cNvSpPr>
      </xdr:nvSpPr>
      <xdr:spPr>
        <a:xfrm>
          <a:off x="4029075" y="2973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152400</xdr:rowOff>
    </xdr:from>
    <xdr:to>
      <xdr:col>4</xdr:col>
      <xdr:colOff>0</xdr:colOff>
      <xdr:row>106</xdr:row>
      <xdr:rowOff>152400</xdr:rowOff>
    </xdr:to>
    <xdr:sp>
      <xdr:nvSpPr>
        <xdr:cNvPr id="1905" name="Line 881"/>
        <xdr:cNvSpPr>
          <a:spLocks/>
        </xdr:cNvSpPr>
      </xdr:nvSpPr>
      <xdr:spPr>
        <a:xfrm>
          <a:off x="4029075" y="2968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152400</xdr:rowOff>
    </xdr:from>
    <xdr:to>
      <xdr:col>4</xdr:col>
      <xdr:colOff>0</xdr:colOff>
      <xdr:row>106</xdr:row>
      <xdr:rowOff>152400</xdr:rowOff>
    </xdr:to>
    <xdr:sp>
      <xdr:nvSpPr>
        <xdr:cNvPr id="1906" name="Line 882"/>
        <xdr:cNvSpPr>
          <a:spLocks/>
        </xdr:cNvSpPr>
      </xdr:nvSpPr>
      <xdr:spPr>
        <a:xfrm>
          <a:off x="4029075" y="2968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907" name="Line 883"/>
        <xdr:cNvSpPr>
          <a:spLocks/>
        </xdr:cNvSpPr>
      </xdr:nvSpPr>
      <xdr:spPr>
        <a:xfrm>
          <a:off x="4029075" y="2973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908" name="Line 884"/>
        <xdr:cNvSpPr>
          <a:spLocks/>
        </xdr:cNvSpPr>
      </xdr:nvSpPr>
      <xdr:spPr>
        <a:xfrm>
          <a:off x="4029075" y="2973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152400</xdr:rowOff>
    </xdr:from>
    <xdr:to>
      <xdr:col>4</xdr:col>
      <xdr:colOff>0</xdr:colOff>
      <xdr:row>106</xdr:row>
      <xdr:rowOff>152400</xdr:rowOff>
    </xdr:to>
    <xdr:sp>
      <xdr:nvSpPr>
        <xdr:cNvPr id="1909" name="Line 885"/>
        <xdr:cNvSpPr>
          <a:spLocks/>
        </xdr:cNvSpPr>
      </xdr:nvSpPr>
      <xdr:spPr>
        <a:xfrm>
          <a:off x="4029075" y="2968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152400</xdr:rowOff>
    </xdr:from>
    <xdr:to>
      <xdr:col>4</xdr:col>
      <xdr:colOff>0</xdr:colOff>
      <xdr:row>106</xdr:row>
      <xdr:rowOff>152400</xdr:rowOff>
    </xdr:to>
    <xdr:sp>
      <xdr:nvSpPr>
        <xdr:cNvPr id="1910" name="Line 886"/>
        <xdr:cNvSpPr>
          <a:spLocks/>
        </xdr:cNvSpPr>
      </xdr:nvSpPr>
      <xdr:spPr>
        <a:xfrm>
          <a:off x="4029075" y="2968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911" name="Line 887"/>
        <xdr:cNvSpPr>
          <a:spLocks/>
        </xdr:cNvSpPr>
      </xdr:nvSpPr>
      <xdr:spPr>
        <a:xfrm>
          <a:off x="4029075" y="2973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912" name="Line 888"/>
        <xdr:cNvSpPr>
          <a:spLocks/>
        </xdr:cNvSpPr>
      </xdr:nvSpPr>
      <xdr:spPr>
        <a:xfrm>
          <a:off x="4029075" y="2973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152400</xdr:rowOff>
    </xdr:from>
    <xdr:to>
      <xdr:col>4</xdr:col>
      <xdr:colOff>0</xdr:colOff>
      <xdr:row>106</xdr:row>
      <xdr:rowOff>152400</xdr:rowOff>
    </xdr:to>
    <xdr:sp>
      <xdr:nvSpPr>
        <xdr:cNvPr id="1913" name="Line 889"/>
        <xdr:cNvSpPr>
          <a:spLocks/>
        </xdr:cNvSpPr>
      </xdr:nvSpPr>
      <xdr:spPr>
        <a:xfrm>
          <a:off x="4029075" y="2968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152400</xdr:rowOff>
    </xdr:from>
    <xdr:to>
      <xdr:col>4</xdr:col>
      <xdr:colOff>0</xdr:colOff>
      <xdr:row>106</xdr:row>
      <xdr:rowOff>152400</xdr:rowOff>
    </xdr:to>
    <xdr:sp>
      <xdr:nvSpPr>
        <xdr:cNvPr id="1914" name="Line 890"/>
        <xdr:cNvSpPr>
          <a:spLocks/>
        </xdr:cNvSpPr>
      </xdr:nvSpPr>
      <xdr:spPr>
        <a:xfrm>
          <a:off x="4029075" y="2968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915" name="Line 891"/>
        <xdr:cNvSpPr>
          <a:spLocks/>
        </xdr:cNvSpPr>
      </xdr:nvSpPr>
      <xdr:spPr>
        <a:xfrm>
          <a:off x="4029075" y="2973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916" name="Line 892"/>
        <xdr:cNvSpPr>
          <a:spLocks/>
        </xdr:cNvSpPr>
      </xdr:nvSpPr>
      <xdr:spPr>
        <a:xfrm>
          <a:off x="4029075" y="2973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152400</xdr:rowOff>
    </xdr:from>
    <xdr:to>
      <xdr:col>4</xdr:col>
      <xdr:colOff>0</xdr:colOff>
      <xdr:row>106</xdr:row>
      <xdr:rowOff>152400</xdr:rowOff>
    </xdr:to>
    <xdr:sp>
      <xdr:nvSpPr>
        <xdr:cNvPr id="1917" name="Line 893"/>
        <xdr:cNvSpPr>
          <a:spLocks/>
        </xdr:cNvSpPr>
      </xdr:nvSpPr>
      <xdr:spPr>
        <a:xfrm>
          <a:off x="4029075" y="2968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152400</xdr:rowOff>
    </xdr:from>
    <xdr:to>
      <xdr:col>4</xdr:col>
      <xdr:colOff>0</xdr:colOff>
      <xdr:row>106</xdr:row>
      <xdr:rowOff>152400</xdr:rowOff>
    </xdr:to>
    <xdr:sp>
      <xdr:nvSpPr>
        <xdr:cNvPr id="1918" name="Line 894"/>
        <xdr:cNvSpPr>
          <a:spLocks/>
        </xdr:cNvSpPr>
      </xdr:nvSpPr>
      <xdr:spPr>
        <a:xfrm>
          <a:off x="4029075" y="2968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919" name="Line 895"/>
        <xdr:cNvSpPr>
          <a:spLocks/>
        </xdr:cNvSpPr>
      </xdr:nvSpPr>
      <xdr:spPr>
        <a:xfrm>
          <a:off x="4029075" y="2973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920" name="Line 896"/>
        <xdr:cNvSpPr>
          <a:spLocks/>
        </xdr:cNvSpPr>
      </xdr:nvSpPr>
      <xdr:spPr>
        <a:xfrm>
          <a:off x="4029075" y="2973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152400</xdr:rowOff>
    </xdr:from>
    <xdr:to>
      <xdr:col>4</xdr:col>
      <xdr:colOff>0</xdr:colOff>
      <xdr:row>106</xdr:row>
      <xdr:rowOff>152400</xdr:rowOff>
    </xdr:to>
    <xdr:sp>
      <xdr:nvSpPr>
        <xdr:cNvPr id="1921" name="Line 897"/>
        <xdr:cNvSpPr>
          <a:spLocks/>
        </xdr:cNvSpPr>
      </xdr:nvSpPr>
      <xdr:spPr>
        <a:xfrm>
          <a:off x="4029075" y="2968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152400</xdr:rowOff>
    </xdr:from>
    <xdr:to>
      <xdr:col>4</xdr:col>
      <xdr:colOff>0</xdr:colOff>
      <xdr:row>106</xdr:row>
      <xdr:rowOff>152400</xdr:rowOff>
    </xdr:to>
    <xdr:sp>
      <xdr:nvSpPr>
        <xdr:cNvPr id="1922" name="Line 898"/>
        <xdr:cNvSpPr>
          <a:spLocks/>
        </xdr:cNvSpPr>
      </xdr:nvSpPr>
      <xdr:spPr>
        <a:xfrm>
          <a:off x="4029075" y="2968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923" name="Line 899"/>
        <xdr:cNvSpPr>
          <a:spLocks/>
        </xdr:cNvSpPr>
      </xdr:nvSpPr>
      <xdr:spPr>
        <a:xfrm>
          <a:off x="4029075" y="2973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924" name="Line 900"/>
        <xdr:cNvSpPr>
          <a:spLocks/>
        </xdr:cNvSpPr>
      </xdr:nvSpPr>
      <xdr:spPr>
        <a:xfrm>
          <a:off x="4029075" y="2973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152400</xdr:rowOff>
    </xdr:from>
    <xdr:to>
      <xdr:col>4</xdr:col>
      <xdr:colOff>0</xdr:colOff>
      <xdr:row>106</xdr:row>
      <xdr:rowOff>152400</xdr:rowOff>
    </xdr:to>
    <xdr:sp>
      <xdr:nvSpPr>
        <xdr:cNvPr id="1925" name="Line 901"/>
        <xdr:cNvSpPr>
          <a:spLocks/>
        </xdr:cNvSpPr>
      </xdr:nvSpPr>
      <xdr:spPr>
        <a:xfrm>
          <a:off x="4029075" y="2968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152400</xdr:rowOff>
    </xdr:from>
    <xdr:to>
      <xdr:col>4</xdr:col>
      <xdr:colOff>0</xdr:colOff>
      <xdr:row>106</xdr:row>
      <xdr:rowOff>152400</xdr:rowOff>
    </xdr:to>
    <xdr:sp>
      <xdr:nvSpPr>
        <xdr:cNvPr id="1926" name="Line 902"/>
        <xdr:cNvSpPr>
          <a:spLocks/>
        </xdr:cNvSpPr>
      </xdr:nvSpPr>
      <xdr:spPr>
        <a:xfrm>
          <a:off x="4029075" y="2968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927" name="Line 903"/>
        <xdr:cNvSpPr>
          <a:spLocks/>
        </xdr:cNvSpPr>
      </xdr:nvSpPr>
      <xdr:spPr>
        <a:xfrm>
          <a:off x="4029075" y="2973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928" name="Line 904"/>
        <xdr:cNvSpPr>
          <a:spLocks/>
        </xdr:cNvSpPr>
      </xdr:nvSpPr>
      <xdr:spPr>
        <a:xfrm>
          <a:off x="4029075" y="2973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152400</xdr:rowOff>
    </xdr:from>
    <xdr:to>
      <xdr:col>4</xdr:col>
      <xdr:colOff>0</xdr:colOff>
      <xdr:row>106</xdr:row>
      <xdr:rowOff>152400</xdr:rowOff>
    </xdr:to>
    <xdr:sp>
      <xdr:nvSpPr>
        <xdr:cNvPr id="1929" name="Line 905"/>
        <xdr:cNvSpPr>
          <a:spLocks/>
        </xdr:cNvSpPr>
      </xdr:nvSpPr>
      <xdr:spPr>
        <a:xfrm>
          <a:off x="4029075" y="2968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152400</xdr:rowOff>
    </xdr:from>
    <xdr:to>
      <xdr:col>4</xdr:col>
      <xdr:colOff>0</xdr:colOff>
      <xdr:row>106</xdr:row>
      <xdr:rowOff>152400</xdr:rowOff>
    </xdr:to>
    <xdr:sp>
      <xdr:nvSpPr>
        <xdr:cNvPr id="1930" name="Line 906"/>
        <xdr:cNvSpPr>
          <a:spLocks/>
        </xdr:cNvSpPr>
      </xdr:nvSpPr>
      <xdr:spPr>
        <a:xfrm>
          <a:off x="4029075" y="2968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931" name="Line 907"/>
        <xdr:cNvSpPr>
          <a:spLocks/>
        </xdr:cNvSpPr>
      </xdr:nvSpPr>
      <xdr:spPr>
        <a:xfrm>
          <a:off x="4029075" y="2973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932" name="Line 908"/>
        <xdr:cNvSpPr>
          <a:spLocks/>
        </xdr:cNvSpPr>
      </xdr:nvSpPr>
      <xdr:spPr>
        <a:xfrm>
          <a:off x="4029075" y="2973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152400</xdr:rowOff>
    </xdr:from>
    <xdr:to>
      <xdr:col>4</xdr:col>
      <xdr:colOff>0</xdr:colOff>
      <xdr:row>106</xdr:row>
      <xdr:rowOff>152400</xdr:rowOff>
    </xdr:to>
    <xdr:sp>
      <xdr:nvSpPr>
        <xdr:cNvPr id="1933" name="Line 909"/>
        <xdr:cNvSpPr>
          <a:spLocks/>
        </xdr:cNvSpPr>
      </xdr:nvSpPr>
      <xdr:spPr>
        <a:xfrm>
          <a:off x="4029075" y="2968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152400</xdr:rowOff>
    </xdr:from>
    <xdr:to>
      <xdr:col>4</xdr:col>
      <xdr:colOff>0</xdr:colOff>
      <xdr:row>106</xdr:row>
      <xdr:rowOff>152400</xdr:rowOff>
    </xdr:to>
    <xdr:sp>
      <xdr:nvSpPr>
        <xdr:cNvPr id="1934" name="Line 910"/>
        <xdr:cNvSpPr>
          <a:spLocks/>
        </xdr:cNvSpPr>
      </xdr:nvSpPr>
      <xdr:spPr>
        <a:xfrm>
          <a:off x="4029075" y="2968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935" name="Line 911"/>
        <xdr:cNvSpPr>
          <a:spLocks/>
        </xdr:cNvSpPr>
      </xdr:nvSpPr>
      <xdr:spPr>
        <a:xfrm>
          <a:off x="4029075" y="2973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936" name="Line 912"/>
        <xdr:cNvSpPr>
          <a:spLocks/>
        </xdr:cNvSpPr>
      </xdr:nvSpPr>
      <xdr:spPr>
        <a:xfrm>
          <a:off x="4029075" y="2973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1" name="Line 6"/>
        <xdr:cNvSpPr>
          <a:spLocks/>
        </xdr:cNvSpPr>
      </xdr:nvSpPr>
      <xdr:spPr>
        <a:xfrm>
          <a:off x="1647825" y="3676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2" name="Line 7"/>
        <xdr:cNvSpPr>
          <a:spLocks/>
        </xdr:cNvSpPr>
      </xdr:nvSpPr>
      <xdr:spPr>
        <a:xfrm>
          <a:off x="1638300" y="3676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1647825" y="3676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>
          <a:off x="1647825" y="3676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>
          <a:off x="1647825" y="3676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F82"/>
  <sheetViews>
    <sheetView workbookViewId="0" topLeftCell="A17">
      <selection activeCell="F42" sqref="F42"/>
    </sheetView>
  </sheetViews>
  <sheetFormatPr defaultColWidth="9.00390625" defaultRowHeight="12.75"/>
  <cols>
    <col min="1" max="1" width="4.75390625" style="1" bestFit="1" customWidth="1"/>
    <col min="2" max="2" width="42.0039062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75390625" style="1" customWidth="1"/>
    <col min="7" max="16384" width="9.125" style="1" customWidth="1"/>
  </cols>
  <sheetData>
    <row r="1" spans="1:6" ht="19.5" customHeight="1">
      <c r="A1" s="633" t="s">
        <v>50</v>
      </c>
      <c r="B1" s="633"/>
      <c r="C1" s="633"/>
      <c r="D1" s="633"/>
      <c r="E1" s="633"/>
      <c r="F1" s="633"/>
    </row>
    <row r="2" spans="1:6" ht="15" customHeight="1">
      <c r="A2" s="633"/>
      <c r="B2" s="633"/>
      <c r="C2" s="633"/>
      <c r="D2" s="633"/>
      <c r="E2" s="633"/>
      <c r="F2" s="633"/>
    </row>
    <row r="3" ht="13.5" thickBot="1">
      <c r="F3" s="4" t="s">
        <v>167</v>
      </c>
    </row>
    <row r="4" spans="1:6" ht="15.75" thickBot="1">
      <c r="A4" s="83" t="s">
        <v>112</v>
      </c>
      <c r="B4" s="83" t="s">
        <v>109</v>
      </c>
      <c r="C4" s="83" t="s">
        <v>126</v>
      </c>
      <c r="D4" s="225" t="s">
        <v>126</v>
      </c>
      <c r="E4" s="631" t="s">
        <v>110</v>
      </c>
      <c r="F4" s="632"/>
    </row>
    <row r="5" spans="1:6" ht="30.75" thickBot="1">
      <c r="A5" s="84"/>
      <c r="B5" s="84"/>
      <c r="C5" s="85" t="s">
        <v>127</v>
      </c>
      <c r="D5" s="227" t="s">
        <v>64</v>
      </c>
      <c r="E5" s="86" t="s">
        <v>386</v>
      </c>
      <c r="F5" s="86" t="s">
        <v>49</v>
      </c>
    </row>
    <row r="6" spans="1:6" ht="9" customHeight="1" thickBot="1">
      <c r="A6" s="2">
        <v>1</v>
      </c>
      <c r="B6" s="2">
        <v>2</v>
      </c>
      <c r="C6" s="2">
        <v>3</v>
      </c>
      <c r="D6" s="2"/>
      <c r="E6" s="2">
        <v>3</v>
      </c>
      <c r="F6" s="2">
        <v>4</v>
      </c>
    </row>
    <row r="7" spans="1:6" ht="19.5" customHeight="1">
      <c r="A7" s="241" t="s">
        <v>114</v>
      </c>
      <c r="B7" s="11" t="s">
        <v>128</v>
      </c>
      <c r="C7" s="10"/>
      <c r="D7" s="10"/>
      <c r="E7" s="318">
        <v>55580665</v>
      </c>
      <c r="F7" s="318">
        <v>57452102</v>
      </c>
    </row>
    <row r="8" spans="1:6" ht="19.5" customHeight="1">
      <c r="A8" s="12" t="s">
        <v>118</v>
      </c>
      <c r="B8" s="13" t="s">
        <v>129</v>
      </c>
      <c r="C8" s="12"/>
      <c r="D8" s="12"/>
      <c r="E8" s="319">
        <v>63133833</v>
      </c>
      <c r="F8" s="319">
        <v>62115056</v>
      </c>
    </row>
    <row r="9" spans="1:6" ht="19.5" customHeight="1" hidden="1">
      <c r="A9" s="18"/>
      <c r="B9" s="19"/>
      <c r="C9" s="12"/>
      <c r="D9" s="12"/>
      <c r="E9" s="319"/>
      <c r="F9" s="319"/>
    </row>
    <row r="10" spans="1:6" ht="19.5" customHeight="1">
      <c r="A10" s="12"/>
      <c r="B10" s="13" t="s">
        <v>157</v>
      </c>
      <c r="C10" s="12"/>
      <c r="D10" s="12"/>
      <c r="E10" s="319">
        <f>E7-E8</f>
        <v>-7553168</v>
      </c>
      <c r="F10" s="319">
        <f>F7-F8</f>
        <v>-4662954</v>
      </c>
    </row>
    <row r="11" spans="1:6" ht="0.75" customHeight="1" thickBot="1">
      <c r="A11" s="10"/>
      <c r="B11" s="11"/>
      <c r="C11" s="10"/>
      <c r="D11" s="10"/>
      <c r="E11" s="318"/>
      <c r="F11" s="318"/>
    </row>
    <row r="12" spans="1:6" ht="19.5" customHeight="1" thickBot="1">
      <c r="A12" s="21"/>
      <c r="B12" s="22" t="s">
        <v>165</v>
      </c>
      <c r="C12" s="21"/>
      <c r="D12" s="21"/>
      <c r="E12" s="320">
        <f>E13-E23</f>
        <v>7553168</v>
      </c>
      <c r="F12" s="320">
        <f>F13-F23</f>
        <v>4662954</v>
      </c>
    </row>
    <row r="13" spans="1:6" ht="19.5" customHeight="1" thickBot="1">
      <c r="A13" s="14" t="s">
        <v>119</v>
      </c>
      <c r="B13" s="15" t="s">
        <v>143</v>
      </c>
      <c r="C13" s="14"/>
      <c r="D13" s="14"/>
      <c r="E13" s="321">
        <f>SUM(E14:E22)</f>
        <v>11286381</v>
      </c>
      <c r="F13" s="328">
        <f>SUM(F14:F22)</f>
        <v>7912554</v>
      </c>
    </row>
    <row r="14" spans="1:6" ht="19.5" customHeight="1">
      <c r="A14" s="233" t="s">
        <v>115</v>
      </c>
      <c r="B14" s="228" t="s">
        <v>65</v>
      </c>
      <c r="C14" s="234" t="s">
        <v>153</v>
      </c>
      <c r="D14" s="238" t="s">
        <v>153</v>
      </c>
      <c r="E14" s="322">
        <v>9904000</v>
      </c>
      <c r="F14" s="329">
        <f>-F10+F23-F22</f>
        <v>6583341</v>
      </c>
    </row>
    <row r="15" spans="1:6" ht="19.5" customHeight="1">
      <c r="A15" s="17" t="s">
        <v>116</v>
      </c>
      <c r="B15" s="229" t="s">
        <v>158</v>
      </c>
      <c r="C15" s="235" t="s">
        <v>153</v>
      </c>
      <c r="D15" s="239" t="s">
        <v>153</v>
      </c>
      <c r="E15" s="323">
        <v>0</v>
      </c>
      <c r="F15" s="330">
        <v>0</v>
      </c>
    </row>
    <row r="16" spans="1:6" ht="45">
      <c r="A16" s="12" t="s">
        <v>117</v>
      </c>
      <c r="B16" s="230" t="s">
        <v>66</v>
      </c>
      <c r="C16" s="236"/>
      <c r="D16" s="240" t="s">
        <v>67</v>
      </c>
      <c r="E16" s="323">
        <v>0</v>
      </c>
      <c r="F16" s="330">
        <v>0</v>
      </c>
    </row>
    <row r="17" spans="1:6" ht="19.5" customHeight="1">
      <c r="A17" s="12" t="s">
        <v>106</v>
      </c>
      <c r="B17" s="231" t="s">
        <v>144</v>
      </c>
      <c r="C17" s="236" t="s">
        <v>154</v>
      </c>
      <c r="D17" s="240" t="s">
        <v>68</v>
      </c>
      <c r="E17" s="323">
        <v>0</v>
      </c>
      <c r="F17" s="330">
        <v>0</v>
      </c>
    </row>
    <row r="18" spans="1:6" ht="19.5" customHeight="1">
      <c r="A18" s="12" t="s">
        <v>121</v>
      </c>
      <c r="B18" s="231" t="s">
        <v>145</v>
      </c>
      <c r="C18" s="236" t="s">
        <v>155</v>
      </c>
      <c r="D18" s="240" t="s">
        <v>69</v>
      </c>
      <c r="E18" s="323">
        <v>0</v>
      </c>
      <c r="F18" s="330">
        <v>0</v>
      </c>
    </row>
    <row r="19" spans="1:6" ht="21.75" customHeight="1">
      <c r="A19" s="12" t="s">
        <v>125</v>
      </c>
      <c r="B19" s="231" t="s">
        <v>130</v>
      </c>
      <c r="C19" s="236" t="s">
        <v>156</v>
      </c>
      <c r="D19" s="240" t="s">
        <v>156</v>
      </c>
      <c r="E19" s="323">
        <v>1315684</v>
      </c>
      <c r="F19" s="330">
        <v>0</v>
      </c>
    </row>
    <row r="20" spans="1:6" ht="19.5" customHeight="1">
      <c r="A20" s="12" t="s">
        <v>133</v>
      </c>
      <c r="B20" s="231" t="s">
        <v>70</v>
      </c>
      <c r="C20" s="236"/>
      <c r="D20" s="240" t="s">
        <v>71</v>
      </c>
      <c r="E20" s="323">
        <v>0</v>
      </c>
      <c r="F20" s="330">
        <v>0</v>
      </c>
    </row>
    <row r="21" spans="1:6" ht="19.5" customHeight="1">
      <c r="A21" s="234" t="s">
        <v>142</v>
      </c>
      <c r="B21" s="422" t="s">
        <v>72</v>
      </c>
      <c r="C21" s="423"/>
      <c r="D21" s="424" t="s">
        <v>73</v>
      </c>
      <c r="E21" s="425">
        <v>0</v>
      </c>
      <c r="F21" s="426">
        <v>0</v>
      </c>
    </row>
    <row r="22" spans="1:6" ht="19.5" customHeight="1" thickBot="1">
      <c r="A22" s="16" t="s">
        <v>199</v>
      </c>
      <c r="B22" s="23" t="s">
        <v>74</v>
      </c>
      <c r="C22" s="237" t="s">
        <v>154</v>
      </c>
      <c r="D22" s="239" t="s">
        <v>154</v>
      </c>
      <c r="E22" s="324">
        <v>66697</v>
      </c>
      <c r="F22" s="331">
        <v>1329213</v>
      </c>
    </row>
    <row r="23" spans="1:6" ht="19.5" customHeight="1" thickBot="1">
      <c r="A23" s="14" t="s">
        <v>136</v>
      </c>
      <c r="B23" s="232" t="s">
        <v>146</v>
      </c>
      <c r="C23" s="20"/>
      <c r="D23" s="14"/>
      <c r="E23" s="321">
        <f>SUM(E24:E31)</f>
        <v>3733213</v>
      </c>
      <c r="F23" s="328">
        <f>SUM(F24:F31)</f>
        <v>3249600</v>
      </c>
    </row>
    <row r="24" spans="1:6" ht="19.5" customHeight="1">
      <c r="A24" s="233" t="s">
        <v>115</v>
      </c>
      <c r="B24" s="245" t="s">
        <v>132</v>
      </c>
      <c r="C24" s="247" t="s">
        <v>148</v>
      </c>
      <c r="D24" s="242" t="s">
        <v>148</v>
      </c>
      <c r="E24" s="325">
        <v>404000</v>
      </c>
      <c r="F24" s="332">
        <f>1723600+300000+200000</f>
        <v>2223600</v>
      </c>
    </row>
    <row r="25" spans="1:6" ht="19.5" customHeight="1">
      <c r="A25" s="12" t="s">
        <v>116</v>
      </c>
      <c r="B25" s="13" t="s">
        <v>152</v>
      </c>
      <c r="C25" s="248"/>
      <c r="D25" s="240" t="s">
        <v>148</v>
      </c>
      <c r="E25" s="326"/>
      <c r="F25" s="333"/>
    </row>
    <row r="26" spans="1:6" ht="45">
      <c r="A26" s="12" t="s">
        <v>117</v>
      </c>
      <c r="B26" s="226" t="s">
        <v>76</v>
      </c>
      <c r="C26" s="248"/>
      <c r="D26" s="240" t="s">
        <v>77</v>
      </c>
      <c r="E26" s="326"/>
      <c r="F26" s="333"/>
    </row>
    <row r="27" spans="1:6" ht="19.5" customHeight="1">
      <c r="A27" s="12" t="s">
        <v>106</v>
      </c>
      <c r="B27" s="13" t="s">
        <v>78</v>
      </c>
      <c r="C27" s="248" t="s">
        <v>171</v>
      </c>
      <c r="D27" s="240" t="s">
        <v>171</v>
      </c>
      <c r="E27" s="326">
        <v>0</v>
      </c>
      <c r="F27" s="333">
        <v>26000</v>
      </c>
    </row>
    <row r="28" spans="1:6" ht="19.5" customHeight="1">
      <c r="A28" s="12" t="s">
        <v>121</v>
      </c>
      <c r="B28" s="13" t="s">
        <v>79</v>
      </c>
      <c r="C28" s="248" t="s">
        <v>150</v>
      </c>
      <c r="D28" s="240" t="s">
        <v>150</v>
      </c>
      <c r="E28" s="326">
        <v>1329213</v>
      </c>
      <c r="F28" s="333">
        <v>0</v>
      </c>
    </row>
    <row r="29" spans="1:6" ht="17.25" customHeight="1">
      <c r="A29" s="12" t="s">
        <v>125</v>
      </c>
      <c r="B29" s="13" t="s">
        <v>131</v>
      </c>
      <c r="C29" s="248" t="s">
        <v>151</v>
      </c>
      <c r="D29" s="240" t="s">
        <v>151</v>
      </c>
      <c r="E29" s="326">
        <v>2000000</v>
      </c>
      <c r="F29" s="333">
        <v>1000000</v>
      </c>
    </row>
    <row r="30" spans="1:6" ht="17.25" customHeight="1">
      <c r="A30" s="12" t="s">
        <v>133</v>
      </c>
      <c r="B30" s="13" t="s">
        <v>100</v>
      </c>
      <c r="C30" s="248"/>
      <c r="D30" s="240" t="s">
        <v>80</v>
      </c>
      <c r="E30" s="326"/>
      <c r="F30" s="333"/>
    </row>
    <row r="31" spans="1:6" ht="17.25" customHeight="1" thickBot="1">
      <c r="A31" s="244" t="s">
        <v>142</v>
      </c>
      <c r="B31" s="246" t="s">
        <v>147</v>
      </c>
      <c r="C31" s="248" t="s">
        <v>149</v>
      </c>
      <c r="D31" s="243" t="s">
        <v>75</v>
      </c>
      <c r="E31" s="327">
        <v>0</v>
      </c>
      <c r="F31" s="327">
        <v>0</v>
      </c>
    </row>
    <row r="32" spans="1:6" ht="19.5" customHeight="1">
      <c r="A32" s="6"/>
      <c r="B32" s="7"/>
      <c r="C32" s="7"/>
      <c r="D32" s="7"/>
      <c r="E32" s="74"/>
      <c r="F32" s="74"/>
    </row>
    <row r="33" spans="1:6" ht="30" hidden="1">
      <c r="A33" s="31" t="s">
        <v>159</v>
      </c>
      <c r="B33" s="34" t="s">
        <v>172</v>
      </c>
      <c r="C33" s="32"/>
      <c r="D33" s="32"/>
      <c r="E33" s="77">
        <f>E23</f>
        <v>3733213</v>
      </c>
      <c r="F33" s="80">
        <f>F23</f>
        <v>3249600</v>
      </c>
    </row>
    <row r="34" spans="1:6" ht="30" hidden="1">
      <c r="A34" s="24" t="s">
        <v>160</v>
      </c>
      <c r="B34" s="33" t="s">
        <v>166</v>
      </c>
      <c r="C34" s="28"/>
      <c r="D34" s="28"/>
      <c r="E34" s="78">
        <f>E7-E33</f>
        <v>51847452</v>
      </c>
      <c r="F34" s="81">
        <f>F7-F33</f>
        <v>54202502</v>
      </c>
    </row>
    <row r="35" spans="1:6" ht="30" hidden="1">
      <c r="A35" s="24" t="s">
        <v>161</v>
      </c>
      <c r="B35" s="33" t="s">
        <v>162</v>
      </c>
      <c r="C35" s="28"/>
      <c r="D35" s="28"/>
      <c r="E35" s="78">
        <f>E8-E34</f>
        <v>11286381</v>
      </c>
      <c r="F35" s="81">
        <f>F8-F34</f>
        <v>7912554</v>
      </c>
    </row>
    <row r="36" spans="1:6" ht="45.75" hidden="1" thickBot="1">
      <c r="A36" s="25" t="s">
        <v>163</v>
      </c>
      <c r="B36" s="29" t="s">
        <v>164</v>
      </c>
      <c r="C36" s="30"/>
      <c r="D36" s="30"/>
      <c r="E36" s="79">
        <f>SUM(E13)</f>
        <v>11286381</v>
      </c>
      <c r="F36" s="82">
        <f>SUM(F13)</f>
        <v>7912554</v>
      </c>
    </row>
    <row r="37" spans="1:6" ht="12.75">
      <c r="A37" s="5"/>
      <c r="E37" s="75"/>
      <c r="F37" s="75"/>
    </row>
    <row r="38" spans="1:6" ht="12.75">
      <c r="A38" s="5"/>
      <c r="E38" s="75"/>
      <c r="F38" s="75"/>
    </row>
    <row r="39" spans="5:6" s="27" customFormat="1" ht="15">
      <c r="E39" s="76"/>
      <c r="F39" s="76"/>
    </row>
    <row r="40" spans="1:6" ht="12.75">
      <c r="A40" s="5"/>
      <c r="E40" s="75"/>
      <c r="F40" s="75"/>
    </row>
    <row r="41" spans="1:6" ht="12.75">
      <c r="A41" s="5"/>
      <c r="E41" s="75"/>
      <c r="F41" s="75"/>
    </row>
    <row r="42" spans="1:6" ht="12.75">
      <c r="A42" s="5"/>
      <c r="E42" s="75"/>
      <c r="F42" s="75"/>
    </row>
    <row r="43" spans="1:6" ht="12.75">
      <c r="A43" s="5"/>
      <c r="E43" s="75"/>
      <c r="F43" s="75"/>
    </row>
    <row r="44" spans="1:6" ht="12.75">
      <c r="A44" s="5"/>
      <c r="E44" s="75"/>
      <c r="F44" s="75"/>
    </row>
    <row r="45" spans="1:6" ht="12.75">
      <c r="A45" s="5"/>
      <c r="E45" s="75"/>
      <c r="F45" s="75"/>
    </row>
    <row r="46" spans="1:6" ht="12.75">
      <c r="A46" s="5"/>
      <c r="E46" s="75"/>
      <c r="F46" s="75"/>
    </row>
    <row r="47" spans="1:6" ht="12.75">
      <c r="A47" s="5"/>
      <c r="E47" s="75"/>
      <c r="F47" s="75"/>
    </row>
    <row r="48" spans="5:6" ht="12.75">
      <c r="E48" s="75"/>
      <c r="F48" s="75"/>
    </row>
    <row r="49" spans="5:6" ht="12.75">
      <c r="E49" s="75"/>
      <c r="F49" s="75"/>
    </row>
    <row r="50" spans="5:6" ht="12.75">
      <c r="E50" s="75"/>
      <c r="F50" s="75"/>
    </row>
    <row r="51" spans="5:6" ht="12.75">
      <c r="E51" s="75"/>
      <c r="F51" s="75"/>
    </row>
    <row r="52" spans="5:6" ht="12.75">
      <c r="E52" s="75"/>
      <c r="F52" s="75"/>
    </row>
    <row r="53" spans="5:6" ht="12.75">
      <c r="E53" s="75"/>
      <c r="F53" s="75"/>
    </row>
    <row r="54" spans="5:6" ht="12.75">
      <c r="E54" s="75"/>
      <c r="F54" s="75"/>
    </row>
    <row r="55" spans="5:6" ht="12.75">
      <c r="E55" s="75"/>
      <c r="F55" s="75"/>
    </row>
    <row r="56" spans="5:6" ht="12.75">
      <c r="E56" s="75"/>
      <c r="F56" s="75"/>
    </row>
    <row r="57" spans="5:6" ht="12.75">
      <c r="E57" s="75"/>
      <c r="F57" s="75"/>
    </row>
    <row r="58" spans="5:6" ht="12.75">
      <c r="E58" s="75"/>
      <c r="F58" s="75"/>
    </row>
    <row r="59" spans="5:6" ht="12.75">
      <c r="E59" s="75"/>
      <c r="F59" s="75"/>
    </row>
    <row r="60" spans="5:6" ht="12.75">
      <c r="E60" s="75"/>
      <c r="F60" s="75"/>
    </row>
    <row r="61" spans="5:6" ht="12.75">
      <c r="E61" s="75"/>
      <c r="F61" s="75"/>
    </row>
    <row r="62" spans="5:6" ht="12.75">
      <c r="E62" s="75"/>
      <c r="F62" s="75"/>
    </row>
    <row r="63" spans="5:6" ht="12.75">
      <c r="E63" s="75"/>
      <c r="F63" s="75"/>
    </row>
    <row r="64" spans="5:6" ht="12.75">
      <c r="E64" s="75"/>
      <c r="F64" s="75"/>
    </row>
    <row r="65" spans="5:6" ht="12.75">
      <c r="E65" s="75"/>
      <c r="F65" s="75"/>
    </row>
    <row r="66" spans="5:6" ht="12.75">
      <c r="E66" s="75"/>
      <c r="F66" s="75"/>
    </row>
    <row r="67" spans="5:6" ht="12.75">
      <c r="E67" s="75"/>
      <c r="F67" s="75"/>
    </row>
    <row r="68" spans="5:6" ht="12.75">
      <c r="E68" s="75"/>
      <c r="F68" s="75"/>
    </row>
    <row r="69" spans="5:6" ht="12.75">
      <c r="E69" s="75"/>
      <c r="F69" s="75"/>
    </row>
    <row r="70" spans="5:6" ht="12.75">
      <c r="E70" s="75"/>
      <c r="F70" s="75"/>
    </row>
    <row r="71" spans="5:6" ht="12.75">
      <c r="E71" s="75"/>
      <c r="F71" s="75"/>
    </row>
    <row r="72" spans="5:6" ht="12.75">
      <c r="E72" s="75"/>
      <c r="F72" s="75"/>
    </row>
    <row r="73" spans="5:6" ht="12.75">
      <c r="E73" s="75"/>
      <c r="F73" s="75"/>
    </row>
    <row r="74" spans="5:6" ht="12.75">
      <c r="E74" s="75"/>
      <c r="F74" s="75"/>
    </row>
    <row r="75" spans="5:6" ht="12.75">
      <c r="E75" s="75"/>
      <c r="F75" s="75"/>
    </row>
    <row r="76" spans="5:6" ht="12.75">
      <c r="E76" s="75"/>
      <c r="F76" s="75"/>
    </row>
    <row r="77" spans="5:6" ht="12.75">
      <c r="E77" s="75"/>
      <c r="F77" s="75"/>
    </row>
    <row r="78" spans="5:6" ht="12.75">
      <c r="E78" s="75"/>
      <c r="F78" s="75"/>
    </row>
    <row r="79" spans="5:6" ht="12.75">
      <c r="E79" s="75"/>
      <c r="F79" s="75"/>
    </row>
    <row r="80" spans="5:6" ht="12.75">
      <c r="E80" s="75"/>
      <c r="F80" s="75"/>
    </row>
    <row r="81" spans="5:6" ht="12.75">
      <c r="E81" s="75"/>
      <c r="F81" s="75"/>
    </row>
    <row r="82" spans="5:6" ht="12.75">
      <c r="E82" s="75"/>
      <c r="F82" s="75"/>
    </row>
  </sheetData>
  <mergeCells count="2">
    <mergeCell ref="E4:F4"/>
    <mergeCell ref="A1:F2"/>
  </mergeCells>
  <printOptions horizontalCentered="1" verticalCentered="1"/>
  <pageMargins left="0.68" right="0.27" top="0.48" bottom="0.5905511811023623" header="0.59" footer="0.5118110236220472"/>
  <pageSetup horizontalDpi="600" verticalDpi="600" orientation="portrait" paperSize="9" r:id="rId1"/>
  <headerFooter alignWithMargins="0">
    <oddHeader>&amp;RZałącznik nr 2
do uchwały Rady Powiatu Nr  XII/      /07
z dnia 25 października 2007 roku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C1">
      <selection activeCell="H19" sqref="H19"/>
    </sheetView>
  </sheetViews>
  <sheetFormatPr defaultColWidth="9.00390625" defaultRowHeight="12.75"/>
  <cols>
    <col min="1" max="1" width="3.875" style="0" customWidth="1"/>
    <col min="2" max="2" width="26.00390625" style="0" customWidth="1"/>
    <col min="3" max="3" width="14.00390625" style="0" customWidth="1"/>
    <col min="4" max="4" width="11.25390625" style="0" customWidth="1"/>
    <col min="5" max="5" width="11.125" style="0" customWidth="1"/>
    <col min="6" max="7" width="10.875" style="0" customWidth="1"/>
    <col min="8" max="8" width="10.125" style="0" customWidth="1"/>
    <col min="9" max="9" width="10.00390625" style="0" customWidth="1"/>
    <col min="10" max="11" width="9.875" style="0" customWidth="1"/>
    <col min="12" max="12" width="10.00390625" style="0" customWidth="1"/>
    <col min="13" max="13" width="9.875" style="0" customWidth="1"/>
  </cols>
  <sheetData>
    <row r="1" spans="2:13" s="129" customFormat="1" ht="15.75">
      <c r="B1" s="130"/>
      <c r="C1" s="131"/>
      <c r="D1" s="132"/>
      <c r="E1" s="155"/>
      <c r="F1" s="155"/>
      <c r="G1" s="96" t="s">
        <v>521</v>
      </c>
      <c r="I1" s="132"/>
      <c r="J1" s="155"/>
      <c r="K1" s="155"/>
      <c r="L1" s="155"/>
      <c r="M1" s="96" t="s">
        <v>521</v>
      </c>
    </row>
    <row r="2" spans="2:13" s="129" customFormat="1" ht="15">
      <c r="B2" s="133"/>
      <c r="C2" s="134"/>
      <c r="D2" s="135"/>
      <c r="E2" s="156"/>
      <c r="F2" s="135"/>
      <c r="G2" s="95" t="s">
        <v>506</v>
      </c>
      <c r="H2" s="477"/>
      <c r="I2" s="135"/>
      <c r="J2" s="478"/>
      <c r="K2" s="478"/>
      <c r="L2" s="478"/>
      <c r="M2" s="95" t="s">
        <v>506</v>
      </c>
    </row>
    <row r="3" spans="2:13" s="129" customFormat="1" ht="15">
      <c r="B3" s="133"/>
      <c r="C3" s="136"/>
      <c r="D3" s="135"/>
      <c r="E3" s="156"/>
      <c r="F3" s="135"/>
      <c r="G3" s="95" t="s">
        <v>507</v>
      </c>
      <c r="H3" s="477"/>
      <c r="I3" s="135"/>
      <c r="J3" s="478"/>
      <c r="K3" s="478"/>
      <c r="L3" s="478"/>
      <c r="M3" s="95" t="s">
        <v>507</v>
      </c>
    </row>
    <row r="4" s="137" customFormat="1" ht="12.75">
      <c r="D4" s="136"/>
    </row>
    <row r="5" ht="12.75">
      <c r="D5" s="138"/>
    </row>
    <row r="6" ht="12.75">
      <c r="D6" s="138"/>
    </row>
    <row r="8" spans="2:6" ht="18">
      <c r="B8" s="3"/>
      <c r="C8" s="3"/>
      <c r="D8" s="3"/>
      <c r="E8" s="3"/>
      <c r="F8" s="3"/>
    </row>
    <row r="9" spans="1:3" ht="18">
      <c r="A9" s="35"/>
      <c r="B9" s="35"/>
      <c r="C9" s="35"/>
    </row>
    <row r="10" spans="4:12" s="1" customFormat="1" ht="15.75">
      <c r="D10" s="120"/>
      <c r="E10" s="120"/>
      <c r="F10" s="128"/>
      <c r="G10" s="1" t="s">
        <v>170</v>
      </c>
      <c r="L10" s="1" t="s">
        <v>170</v>
      </c>
    </row>
    <row r="11" spans="1:13" s="139" customFormat="1" ht="35.25" customHeight="1">
      <c r="A11" s="673" t="s">
        <v>173</v>
      </c>
      <c r="B11" s="673" t="s">
        <v>260</v>
      </c>
      <c r="C11" s="673" t="s">
        <v>372</v>
      </c>
      <c r="D11" s="506" t="s">
        <v>261</v>
      </c>
      <c r="E11" s="702"/>
      <c r="F11" s="702"/>
      <c r="G11" s="703"/>
      <c r="H11" s="506" t="s">
        <v>261</v>
      </c>
      <c r="I11" s="702"/>
      <c r="J11" s="702"/>
      <c r="K11" s="702"/>
      <c r="L11" s="702"/>
      <c r="M11" s="703"/>
    </row>
    <row r="12" spans="1:13" s="139" customFormat="1" ht="35.25" customHeight="1">
      <c r="A12" s="673"/>
      <c r="B12" s="673"/>
      <c r="C12" s="673"/>
      <c r="D12" s="59">
        <v>2007</v>
      </c>
      <c r="E12" s="59">
        <v>2008</v>
      </c>
      <c r="F12" s="140">
        <v>2009</v>
      </c>
      <c r="G12" s="59">
        <v>2010</v>
      </c>
      <c r="H12" s="59">
        <v>2011</v>
      </c>
      <c r="I12" s="59">
        <v>2012</v>
      </c>
      <c r="J12" s="59">
        <v>2013</v>
      </c>
      <c r="K12" s="59">
        <v>2014</v>
      </c>
      <c r="L12" s="59">
        <v>2015</v>
      </c>
      <c r="M12" s="59">
        <v>2016</v>
      </c>
    </row>
    <row r="13" spans="1:13" s="139" customFormat="1" ht="11.25" customHeight="1">
      <c r="A13" s="42">
        <v>1</v>
      </c>
      <c r="B13" s="42">
        <v>2</v>
      </c>
      <c r="C13" s="42">
        <v>3</v>
      </c>
      <c r="D13" s="42">
        <v>4</v>
      </c>
      <c r="E13" s="42">
        <v>5</v>
      </c>
      <c r="F13" s="42">
        <v>6</v>
      </c>
      <c r="G13" s="141">
        <v>7</v>
      </c>
      <c r="H13" s="42">
        <v>3</v>
      </c>
      <c r="I13" s="42">
        <v>4</v>
      </c>
      <c r="J13" s="42">
        <v>5</v>
      </c>
      <c r="K13" s="42">
        <v>6</v>
      </c>
      <c r="L13" s="42">
        <v>7</v>
      </c>
      <c r="M13" s="42">
        <v>8</v>
      </c>
    </row>
    <row r="14" spans="1:13" s="92" customFormat="1" ht="28.5" customHeight="1">
      <c r="A14" s="142" t="s">
        <v>115</v>
      </c>
      <c r="B14" s="70" t="s">
        <v>120</v>
      </c>
      <c r="C14" s="143">
        <f>SUM('zał12-syt finans'!C46)</f>
        <v>3000000</v>
      </c>
      <c r="D14" s="143">
        <f>SUM('zał12-syt finans'!D46)</f>
        <v>2000000</v>
      </c>
      <c r="E14" s="143">
        <f>SUM('zał12-syt finans'!E46)</f>
        <v>0</v>
      </c>
      <c r="F14" s="143">
        <f>SUM('zał12-syt finans'!F46)</f>
        <v>0</v>
      </c>
      <c r="G14" s="143">
        <f>SUM('zał12-syt finans'!G46)</f>
        <v>0</v>
      </c>
      <c r="H14" s="143">
        <f>SUM('zał12-syt finans'!H46)</f>
        <v>0</v>
      </c>
      <c r="I14" s="143">
        <f>SUM('zał12-syt finans'!I46)</f>
        <v>0</v>
      </c>
      <c r="J14" s="143">
        <f>SUM('zał12-syt finans'!J46)</f>
        <v>0</v>
      </c>
      <c r="K14" s="143">
        <f>SUM('zał12-syt finans'!K46)</f>
        <v>0</v>
      </c>
      <c r="L14" s="143">
        <f>SUM('zał12-syt finans'!L46)</f>
        <v>0</v>
      </c>
      <c r="M14" s="143">
        <f>SUM('zał12-syt finans'!M46)</f>
        <v>0</v>
      </c>
    </row>
    <row r="15" spans="1:13" s="92" customFormat="1" ht="24.75" customHeight="1">
      <c r="A15" s="142" t="s">
        <v>116</v>
      </c>
      <c r="B15" s="70" t="s">
        <v>122</v>
      </c>
      <c r="C15" s="143">
        <f>SUM('zał12-syt finans'!C45)</f>
        <v>17733971</v>
      </c>
      <c r="D15" s="143">
        <f>SUM('zał12-syt finans'!D45)</f>
        <v>22093712</v>
      </c>
      <c r="E15" s="143">
        <f>SUM('zał12-syt finans'!E45)</f>
        <v>23641273</v>
      </c>
      <c r="F15" s="143">
        <f>SUM('zał12-syt finans'!F45)</f>
        <v>21280802</v>
      </c>
      <c r="G15" s="143">
        <f>SUM('zał12-syt finans'!G45)</f>
        <v>17824988</v>
      </c>
      <c r="H15" s="143">
        <f>SUM('zał12-syt finans'!H45)</f>
        <v>13932338</v>
      </c>
      <c r="I15" s="143">
        <f>SUM('zał12-syt finans'!I45)</f>
        <v>8588798</v>
      </c>
      <c r="J15" s="143">
        <f>SUM('zał12-syt finans'!J45)</f>
        <v>3780104</v>
      </c>
      <c r="K15" s="143">
        <f>SUM('zał12-syt finans'!K45)</f>
        <v>1491780</v>
      </c>
      <c r="L15" s="143">
        <f>SUM('zał12-syt finans'!L45)</f>
        <v>91780</v>
      </c>
      <c r="M15" s="143">
        <f>SUM('zał12-syt finans'!M45)</f>
        <v>0</v>
      </c>
    </row>
    <row r="16" spans="1:13" s="92" customFormat="1" ht="24.75" customHeight="1">
      <c r="A16" s="142" t="s">
        <v>117</v>
      </c>
      <c r="B16" s="70" t="s">
        <v>123</v>
      </c>
      <c r="C16" s="41" t="s">
        <v>188</v>
      </c>
      <c r="D16" s="41" t="s">
        <v>188</v>
      </c>
      <c r="E16" s="41" t="s">
        <v>188</v>
      </c>
      <c r="F16" s="41" t="s">
        <v>188</v>
      </c>
      <c r="G16" s="144" t="s">
        <v>188</v>
      </c>
      <c r="H16" s="41" t="s">
        <v>188</v>
      </c>
      <c r="I16" s="41" t="s">
        <v>188</v>
      </c>
      <c r="J16" s="41" t="s">
        <v>188</v>
      </c>
      <c r="K16" s="41" t="s">
        <v>188</v>
      </c>
      <c r="L16" s="41" t="s">
        <v>188</v>
      </c>
      <c r="M16" s="41" t="s">
        <v>188</v>
      </c>
    </row>
    <row r="17" spans="1:13" s="92" customFormat="1" ht="24.75" customHeight="1">
      <c r="A17" s="145" t="s">
        <v>106</v>
      </c>
      <c r="B17" s="146" t="s">
        <v>124</v>
      </c>
      <c r="C17" s="41" t="s">
        <v>188</v>
      </c>
      <c r="D17" s="41" t="s">
        <v>188</v>
      </c>
      <c r="E17" s="41" t="s">
        <v>188</v>
      </c>
      <c r="F17" s="41" t="s">
        <v>188</v>
      </c>
      <c r="G17" s="144" t="s">
        <v>188</v>
      </c>
      <c r="H17" s="41" t="s">
        <v>188</v>
      </c>
      <c r="I17" s="41" t="s">
        <v>188</v>
      </c>
      <c r="J17" s="41" t="s">
        <v>188</v>
      </c>
      <c r="K17" s="41" t="s">
        <v>188</v>
      </c>
      <c r="L17" s="41" t="s">
        <v>188</v>
      </c>
      <c r="M17" s="41" t="s">
        <v>188</v>
      </c>
    </row>
    <row r="18" spans="1:13" s="92" customFormat="1" ht="42.75" customHeight="1">
      <c r="A18" s="145" t="s">
        <v>121</v>
      </c>
      <c r="B18" s="70" t="s">
        <v>262</v>
      </c>
      <c r="C18" s="41" t="s">
        <v>188</v>
      </c>
      <c r="D18" s="41" t="s">
        <v>188</v>
      </c>
      <c r="E18" s="41" t="s">
        <v>188</v>
      </c>
      <c r="F18" s="41" t="s">
        <v>188</v>
      </c>
      <c r="G18" s="144" t="s">
        <v>188</v>
      </c>
      <c r="H18" s="41" t="s">
        <v>188</v>
      </c>
      <c r="I18" s="41" t="s">
        <v>188</v>
      </c>
      <c r="J18" s="41" t="s">
        <v>188</v>
      </c>
      <c r="K18" s="41" t="s">
        <v>188</v>
      </c>
      <c r="L18" s="147" t="s">
        <v>188</v>
      </c>
      <c r="M18" s="147" t="s">
        <v>188</v>
      </c>
    </row>
    <row r="19" spans="1:13" s="92" customFormat="1" ht="24.75" customHeight="1">
      <c r="A19" s="148"/>
      <c r="B19" s="70" t="s">
        <v>263</v>
      </c>
      <c r="C19" s="41" t="s">
        <v>188</v>
      </c>
      <c r="D19" s="41" t="s">
        <v>188</v>
      </c>
      <c r="E19" s="41" t="s">
        <v>188</v>
      </c>
      <c r="F19" s="41" t="s">
        <v>188</v>
      </c>
      <c r="G19" s="41" t="s">
        <v>188</v>
      </c>
      <c r="H19" s="41" t="s">
        <v>188</v>
      </c>
      <c r="I19" s="41" t="s">
        <v>188</v>
      </c>
      <c r="J19" s="41" t="s">
        <v>188</v>
      </c>
      <c r="K19" s="41" t="s">
        <v>188</v>
      </c>
      <c r="L19" s="41" t="s">
        <v>188</v>
      </c>
      <c r="M19" s="41" t="s">
        <v>188</v>
      </c>
    </row>
    <row r="20" spans="1:13" s="92" customFormat="1" ht="24.75" customHeight="1">
      <c r="A20" s="148"/>
      <c r="B20" s="70" t="s">
        <v>264</v>
      </c>
      <c r="C20" s="41" t="s">
        <v>188</v>
      </c>
      <c r="D20" s="41" t="s">
        <v>188</v>
      </c>
      <c r="E20" s="41" t="s">
        <v>188</v>
      </c>
      <c r="F20" s="41" t="s">
        <v>188</v>
      </c>
      <c r="G20" s="41" t="s">
        <v>188</v>
      </c>
      <c r="H20" s="41" t="s">
        <v>188</v>
      </c>
      <c r="I20" s="41" t="s">
        <v>188</v>
      </c>
      <c r="J20" s="41" t="s">
        <v>188</v>
      </c>
      <c r="K20" s="41" t="s">
        <v>188</v>
      </c>
      <c r="L20" s="41" t="s">
        <v>188</v>
      </c>
      <c r="M20" s="41" t="s">
        <v>188</v>
      </c>
    </row>
    <row r="21" spans="1:13" s="92" customFormat="1" ht="24.75" customHeight="1">
      <c r="A21" s="148"/>
      <c r="B21" s="70" t="s">
        <v>265</v>
      </c>
      <c r="C21" s="41" t="s">
        <v>188</v>
      </c>
      <c r="D21" s="41" t="s">
        <v>188</v>
      </c>
      <c r="E21" s="41" t="s">
        <v>188</v>
      </c>
      <c r="F21" s="41" t="s">
        <v>188</v>
      </c>
      <c r="G21" s="41" t="s">
        <v>188</v>
      </c>
      <c r="H21" s="41" t="s">
        <v>188</v>
      </c>
      <c r="I21" s="41" t="s">
        <v>188</v>
      </c>
      <c r="J21" s="41" t="s">
        <v>188</v>
      </c>
      <c r="K21" s="41" t="s">
        <v>188</v>
      </c>
      <c r="L21" s="147" t="s">
        <v>188</v>
      </c>
      <c r="M21" s="147" t="s">
        <v>188</v>
      </c>
    </row>
    <row r="22" spans="1:13" s="92" customFormat="1" ht="24.75" customHeight="1">
      <c r="A22" s="149"/>
      <c r="B22" s="70" t="s">
        <v>266</v>
      </c>
      <c r="C22" s="41" t="s">
        <v>188</v>
      </c>
      <c r="D22" s="41" t="s">
        <v>188</v>
      </c>
      <c r="E22" s="41" t="s">
        <v>188</v>
      </c>
      <c r="F22" s="41" t="s">
        <v>188</v>
      </c>
      <c r="G22" s="144" t="s">
        <v>188</v>
      </c>
      <c r="H22" s="41" t="s">
        <v>188</v>
      </c>
      <c r="I22" s="41" t="s">
        <v>188</v>
      </c>
      <c r="J22" s="41" t="s">
        <v>188</v>
      </c>
      <c r="K22" s="41" t="s">
        <v>188</v>
      </c>
      <c r="L22" s="41" t="s">
        <v>188</v>
      </c>
      <c r="M22" s="41" t="s">
        <v>188</v>
      </c>
    </row>
    <row r="23" spans="1:13" s="152" customFormat="1" ht="30" customHeight="1">
      <c r="A23" s="149" t="s">
        <v>125</v>
      </c>
      <c r="B23" s="150" t="s">
        <v>267</v>
      </c>
      <c r="C23" s="151">
        <f>SUM(C14,C15)</f>
        <v>20733971</v>
      </c>
      <c r="D23" s="151">
        <f>SUM(D14,D15,D18)</f>
        <v>24093712</v>
      </c>
      <c r="E23" s="151">
        <f aca="true" t="shared" si="0" ref="E23:M23">SUM(E14,E15,E18)</f>
        <v>23641273</v>
      </c>
      <c r="F23" s="151">
        <f t="shared" si="0"/>
        <v>21280802</v>
      </c>
      <c r="G23" s="151">
        <f t="shared" si="0"/>
        <v>17824988</v>
      </c>
      <c r="H23" s="151">
        <f t="shared" si="0"/>
        <v>13932338</v>
      </c>
      <c r="I23" s="151">
        <f t="shared" si="0"/>
        <v>8588798</v>
      </c>
      <c r="J23" s="151">
        <f t="shared" si="0"/>
        <v>3780104</v>
      </c>
      <c r="K23" s="151">
        <f t="shared" si="0"/>
        <v>1491780</v>
      </c>
      <c r="L23" s="151">
        <f t="shared" si="0"/>
        <v>91780</v>
      </c>
      <c r="M23" s="151">
        <f t="shared" si="0"/>
        <v>0</v>
      </c>
    </row>
    <row r="24" spans="1:13" s="152" customFormat="1" ht="27" customHeight="1">
      <c r="A24" s="149" t="s">
        <v>133</v>
      </c>
      <c r="B24" s="70" t="s">
        <v>134</v>
      </c>
      <c r="C24" s="153">
        <f>SUM('zał12-syt finans'!C11)</f>
        <v>55580665</v>
      </c>
      <c r="D24" s="153">
        <f>SUM('zał12-syt finans'!D11)</f>
        <v>57452102</v>
      </c>
      <c r="E24" s="153">
        <f>SUM('zał12-syt finans'!E11)</f>
        <v>60623469</v>
      </c>
      <c r="F24" s="153">
        <f>SUM('zał12-syt finans'!F11)</f>
        <v>61532821</v>
      </c>
      <c r="G24" s="153">
        <f>SUM('zał12-syt finans'!G11)</f>
        <v>62455814</v>
      </c>
      <c r="H24" s="153">
        <f>SUM('zał12-syt finans'!H11)</f>
        <v>63392650</v>
      </c>
      <c r="I24" s="153">
        <f>SUM('zał12-syt finans'!I11)</f>
        <v>64343540</v>
      </c>
      <c r="J24" s="153">
        <f>SUM('zał12-syt finans'!J11)</f>
        <v>65308694</v>
      </c>
      <c r="K24" s="153">
        <f>SUM('zał12-syt finans'!K11)</f>
        <v>66288324</v>
      </c>
      <c r="L24" s="153">
        <f>SUM('zał12-syt finans'!L11)</f>
        <v>67282648</v>
      </c>
      <c r="M24" s="153">
        <f>SUM('zał12-syt finans'!M11)</f>
        <v>68791888</v>
      </c>
    </row>
    <row r="25" spans="1:13" s="152" customFormat="1" ht="30" customHeight="1">
      <c r="A25" s="149" t="s">
        <v>142</v>
      </c>
      <c r="B25" s="70" t="s">
        <v>268</v>
      </c>
      <c r="C25" s="44">
        <f aca="true" t="shared" si="1" ref="C25:M25">C23/C24*100</f>
        <v>37.30428738123231</v>
      </c>
      <c r="D25" s="44">
        <f t="shared" si="1"/>
        <v>41.93704174653175</v>
      </c>
      <c r="E25" s="44">
        <f t="shared" si="1"/>
        <v>38.99689903921533</v>
      </c>
      <c r="F25" s="44">
        <f t="shared" si="1"/>
        <v>34.584473219584716</v>
      </c>
      <c r="G25" s="154">
        <f t="shared" si="1"/>
        <v>28.540158006746978</v>
      </c>
      <c r="H25" s="44">
        <f t="shared" si="1"/>
        <v>21.977844434646602</v>
      </c>
      <c r="I25" s="44">
        <f t="shared" si="1"/>
        <v>13.348345459388774</v>
      </c>
      <c r="J25" s="44">
        <f t="shared" si="1"/>
        <v>5.788056334429227</v>
      </c>
      <c r="K25" s="44">
        <f t="shared" si="1"/>
        <v>2.2504415709771153</v>
      </c>
      <c r="L25" s="44">
        <f t="shared" si="1"/>
        <v>0.13640961336717902</v>
      </c>
      <c r="M25" s="44">
        <f t="shared" si="1"/>
        <v>0</v>
      </c>
    </row>
    <row r="26" s="115" customFormat="1" ht="12.75"/>
    <row r="27" s="115" customFormat="1" ht="12.75"/>
    <row r="28" s="115" customFormat="1" ht="12.75"/>
    <row r="29" s="115" customFormat="1" ht="12.75"/>
    <row r="30" s="115" customFormat="1" ht="12.75"/>
    <row r="31" s="115" customFormat="1" ht="12.75"/>
  </sheetData>
  <mergeCells count="5">
    <mergeCell ref="H11:M11"/>
    <mergeCell ref="A11:A12"/>
    <mergeCell ref="B11:B12"/>
    <mergeCell ref="C11:C12"/>
    <mergeCell ref="D11:G11"/>
  </mergeCells>
  <printOptions/>
  <pageMargins left="0.79" right="0.22" top="1" bottom="1" header="2.17" footer="0.5"/>
  <pageSetup horizontalDpi="600" verticalDpi="600" orientation="portrait" paperSize="9" r:id="rId1"/>
  <headerFooter alignWithMargins="0">
    <oddHeader>&amp;C&amp;"Arial CE,Pogrubiony"&amp;14PROGNOZY KWOTY DŁUGU POWIATU IŁAWSKIEGO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1"/>
  <sheetViews>
    <sheetView tabSelected="1" workbookViewId="0" topLeftCell="A8">
      <pane ySplit="690" topLeftCell="BM1" activePane="bottomLeft" state="split"/>
      <selection pane="topLeft" activeCell="M36" sqref="M36"/>
      <selection pane="bottomLeft" activeCell="F31" sqref="F31"/>
    </sheetView>
  </sheetViews>
  <sheetFormatPr defaultColWidth="9.00390625" defaultRowHeight="12.75"/>
  <cols>
    <col min="1" max="1" width="4.375" style="91" customWidth="1"/>
    <col min="2" max="2" width="40.875" style="91" customWidth="1"/>
    <col min="3" max="3" width="13.25390625" style="91" customWidth="1"/>
    <col min="4" max="6" width="13.125" style="343" customWidth="1"/>
    <col min="7" max="7" width="15.125" style="343" customWidth="1"/>
    <col min="8" max="8" width="13.00390625" style="343" customWidth="1"/>
    <col min="9" max="9" width="14.625" style="343" customWidth="1"/>
    <col min="10" max="12" width="13.125" style="343" customWidth="1"/>
    <col min="13" max="13" width="14.625" style="343" customWidth="1"/>
    <col min="14" max="14" width="13.00390625" style="343" customWidth="1"/>
    <col min="15" max="16384" width="9.125" style="91" customWidth="1"/>
  </cols>
  <sheetData>
    <row r="1" spans="4:30" ht="14.25">
      <c r="D1" s="155"/>
      <c r="E1" s="155"/>
      <c r="F1" s="96" t="s">
        <v>501</v>
      </c>
      <c r="H1" s="155"/>
      <c r="I1" s="155"/>
      <c r="J1" s="96" t="s">
        <v>501</v>
      </c>
      <c r="K1" s="347"/>
      <c r="L1" s="347"/>
      <c r="M1" s="347"/>
      <c r="N1" s="96" t="s">
        <v>501</v>
      </c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</row>
    <row r="2" spans="4:30" ht="14.25">
      <c r="D2" s="156"/>
      <c r="E2" s="156"/>
      <c r="F2" s="95" t="s">
        <v>506</v>
      </c>
      <c r="H2" s="156"/>
      <c r="I2" s="156"/>
      <c r="J2" s="95" t="s">
        <v>506</v>
      </c>
      <c r="K2" s="348"/>
      <c r="L2" s="348"/>
      <c r="M2" s="348"/>
      <c r="N2" s="95" t="s">
        <v>506</v>
      </c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4:30" ht="14.25">
      <c r="D3" s="156"/>
      <c r="E3" s="156"/>
      <c r="F3" s="95" t="s">
        <v>507</v>
      </c>
      <c r="H3" s="156"/>
      <c r="I3" s="156"/>
      <c r="J3" s="95" t="s">
        <v>507</v>
      </c>
      <c r="K3" s="348"/>
      <c r="L3" s="348"/>
      <c r="M3" s="348"/>
      <c r="N3" s="95" t="s">
        <v>507</v>
      </c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4:12" ht="11.25" customHeight="1">
      <c r="D4" s="135"/>
      <c r="E4" s="135"/>
      <c r="F4" s="135"/>
      <c r="H4" s="91"/>
      <c r="I4" s="91"/>
      <c r="J4" s="135"/>
      <c r="K4" s="349"/>
      <c r="L4" s="349"/>
    </row>
    <row r="5" spans="4:10" ht="10.5" customHeight="1">
      <c r="D5" s="91"/>
      <c r="E5" s="58"/>
      <c r="F5" s="91"/>
      <c r="H5" s="91"/>
      <c r="I5" s="91"/>
      <c r="J5" s="91"/>
    </row>
    <row r="6" spans="6:14" ht="15" customHeight="1">
      <c r="F6" s="180" t="s">
        <v>84</v>
      </c>
      <c r="H6" s="91"/>
      <c r="I6" s="91"/>
      <c r="J6" s="180" t="s">
        <v>84</v>
      </c>
      <c r="N6" s="180" t="s">
        <v>84</v>
      </c>
    </row>
    <row r="7" spans="1:14" ht="12.75">
      <c r="A7" s="157" t="s">
        <v>173</v>
      </c>
      <c r="B7" s="157" t="s">
        <v>109</v>
      </c>
      <c r="C7" s="709" t="s">
        <v>390</v>
      </c>
      <c r="D7" s="344" t="s">
        <v>85</v>
      </c>
      <c r="E7" s="350"/>
      <c r="F7" s="351"/>
      <c r="G7" s="704" t="s">
        <v>86</v>
      </c>
      <c r="H7" s="705"/>
      <c r="I7" s="705"/>
      <c r="J7" s="706"/>
      <c r="K7" s="704" t="s">
        <v>86</v>
      </c>
      <c r="L7" s="705"/>
      <c r="M7" s="705"/>
      <c r="N7" s="706"/>
    </row>
    <row r="8" spans="1:14" ht="12.75">
      <c r="A8" s="158"/>
      <c r="B8" s="158"/>
      <c r="C8" s="710"/>
      <c r="D8" s="160">
        <v>2007</v>
      </c>
      <c r="E8" s="201">
        <v>2008</v>
      </c>
      <c r="F8" s="201">
        <v>2009</v>
      </c>
      <c r="G8" s="202">
        <v>2010</v>
      </c>
      <c r="H8" s="201">
        <v>2011</v>
      </c>
      <c r="I8" s="201">
        <v>2012</v>
      </c>
      <c r="J8" s="201">
        <v>2013</v>
      </c>
      <c r="K8" s="201">
        <v>2014</v>
      </c>
      <c r="L8" s="201">
        <v>2015</v>
      </c>
      <c r="M8" s="201">
        <v>2016</v>
      </c>
      <c r="N8" s="157"/>
    </row>
    <row r="9" spans="1:14" ht="12.75">
      <c r="A9" s="161"/>
      <c r="B9" s="161"/>
      <c r="C9" s="161">
        <v>2006</v>
      </c>
      <c r="D9" s="162"/>
      <c r="E9" s="203"/>
      <c r="F9" s="203"/>
      <c r="G9" s="204"/>
      <c r="H9" s="203"/>
      <c r="I9" s="203"/>
      <c r="J9" s="203"/>
      <c r="K9" s="203"/>
      <c r="L9" s="203"/>
      <c r="M9" s="203"/>
      <c r="N9" s="161"/>
    </row>
    <row r="10" spans="1:14" ht="12.75">
      <c r="A10" s="66">
        <v>1</v>
      </c>
      <c r="B10" s="66">
        <v>2</v>
      </c>
      <c r="C10" s="66">
        <v>3</v>
      </c>
      <c r="D10" s="66">
        <v>4</v>
      </c>
      <c r="E10" s="66">
        <v>5</v>
      </c>
      <c r="F10" s="66">
        <v>6</v>
      </c>
      <c r="G10" s="66">
        <v>3</v>
      </c>
      <c r="H10" s="66">
        <v>4</v>
      </c>
      <c r="I10" s="66">
        <v>5</v>
      </c>
      <c r="J10" s="66">
        <v>6</v>
      </c>
      <c r="K10" s="66">
        <v>3</v>
      </c>
      <c r="L10" s="66">
        <v>4</v>
      </c>
      <c r="M10" s="66">
        <v>5</v>
      </c>
      <c r="N10" s="66"/>
    </row>
    <row r="11" spans="1:14" s="165" customFormat="1" ht="16.5">
      <c r="A11" s="163" t="s">
        <v>114</v>
      </c>
      <c r="B11" s="164" t="s">
        <v>324</v>
      </c>
      <c r="C11" s="197">
        <f aca="true" t="shared" si="0" ref="C11:L11">SUM(C12,C16,C17,C18,C19)</f>
        <v>55580665</v>
      </c>
      <c r="D11" s="197">
        <f t="shared" si="0"/>
        <v>57452102</v>
      </c>
      <c r="E11" s="197">
        <f t="shared" si="0"/>
        <v>60623469</v>
      </c>
      <c r="F11" s="197">
        <f t="shared" si="0"/>
        <v>61532821</v>
      </c>
      <c r="G11" s="197">
        <f t="shared" si="0"/>
        <v>62455814</v>
      </c>
      <c r="H11" s="197">
        <f t="shared" si="0"/>
        <v>63392650</v>
      </c>
      <c r="I11" s="197">
        <f t="shared" si="0"/>
        <v>64343540</v>
      </c>
      <c r="J11" s="197">
        <f t="shared" si="0"/>
        <v>65308694</v>
      </c>
      <c r="K11" s="197">
        <f t="shared" si="0"/>
        <v>66288324</v>
      </c>
      <c r="L11" s="197">
        <f t="shared" si="0"/>
        <v>67282648</v>
      </c>
      <c r="M11" s="197">
        <f>SUM(M12,M16,M17,M18,M19)</f>
        <v>68791888</v>
      </c>
      <c r="N11" s="172">
        <f>SUM(N12,N16,N17,N18,N19)</f>
        <v>70855644.64</v>
      </c>
    </row>
    <row r="12" spans="1:14" s="65" customFormat="1" ht="15">
      <c r="A12" s="166" t="s">
        <v>326</v>
      </c>
      <c r="B12" s="167" t="s">
        <v>87</v>
      </c>
      <c r="C12" s="197">
        <f aca="true" t="shared" si="1" ref="C12:L12">SUM(C13:C15)</f>
        <v>15159402</v>
      </c>
      <c r="D12" s="197">
        <f t="shared" si="1"/>
        <v>15092266</v>
      </c>
      <c r="E12" s="197">
        <f t="shared" si="1"/>
        <v>17119431</v>
      </c>
      <c r="F12" s="197">
        <f t="shared" si="1"/>
        <v>17376222</v>
      </c>
      <c r="G12" s="197">
        <f t="shared" si="1"/>
        <v>17636865</v>
      </c>
      <c r="H12" s="197">
        <f t="shared" si="1"/>
        <v>17901417</v>
      </c>
      <c r="I12" s="197">
        <f t="shared" si="1"/>
        <v>18169938</v>
      </c>
      <c r="J12" s="197">
        <f t="shared" si="1"/>
        <v>18442488</v>
      </c>
      <c r="K12" s="197">
        <f t="shared" si="1"/>
        <v>18719126</v>
      </c>
      <c r="L12" s="197">
        <f t="shared" si="1"/>
        <v>18999913</v>
      </c>
      <c r="M12" s="197">
        <f>SUM(M13:M15)</f>
        <v>19784912</v>
      </c>
      <c r="N12" s="172">
        <f>SUM(N13:N15)</f>
        <v>20378459.36</v>
      </c>
    </row>
    <row r="13" spans="1:14" s="65" customFormat="1" ht="25.5" customHeight="1">
      <c r="A13" s="168" t="s">
        <v>115</v>
      </c>
      <c r="B13" s="46" t="s">
        <v>88</v>
      </c>
      <c r="C13" s="198">
        <v>7343208</v>
      </c>
      <c r="D13" s="198">
        <v>8486325</v>
      </c>
      <c r="E13" s="198">
        <f>ROUND(D13*101.5%,0)</f>
        <v>8613620</v>
      </c>
      <c r="F13" s="198">
        <f>ROUND(E13*101.5%,0)</f>
        <v>8742824</v>
      </c>
      <c r="G13" s="198">
        <f aca="true" t="shared" si="2" ref="G13:L13">ROUND(F13*101.5%,0)</f>
        <v>8873966</v>
      </c>
      <c r="H13" s="198">
        <f t="shared" si="2"/>
        <v>9007075</v>
      </c>
      <c r="I13" s="198">
        <f t="shared" si="2"/>
        <v>9142181</v>
      </c>
      <c r="J13" s="198">
        <f t="shared" si="2"/>
        <v>9279314</v>
      </c>
      <c r="K13" s="198">
        <f t="shared" si="2"/>
        <v>9418504</v>
      </c>
      <c r="L13" s="198">
        <f t="shared" si="2"/>
        <v>9559782</v>
      </c>
      <c r="M13" s="198">
        <f>ROUND(L13*101.5%,0)+500000</f>
        <v>10203179</v>
      </c>
      <c r="N13" s="169">
        <f aca="true" t="shared" si="3" ref="N13:N19">M13*103%</f>
        <v>10509274.370000001</v>
      </c>
    </row>
    <row r="14" spans="1:14" s="65" customFormat="1" ht="12.75" customHeight="1">
      <c r="A14" s="168" t="s">
        <v>116</v>
      </c>
      <c r="B14" s="46" t="s">
        <v>89</v>
      </c>
      <c r="C14" s="198">
        <v>837918</v>
      </c>
      <c r="D14" s="198">
        <v>498336</v>
      </c>
      <c r="E14" s="198">
        <f>ROUND(D14*101.5%,0)</f>
        <v>505811</v>
      </c>
      <c r="F14" s="198">
        <f>ROUND(E14*101.5%,0)</f>
        <v>513398</v>
      </c>
      <c r="G14" s="198">
        <f aca="true" t="shared" si="4" ref="G14:L14">ROUND(F14*101.5%,0)</f>
        <v>521099</v>
      </c>
      <c r="H14" s="198">
        <f t="shared" si="4"/>
        <v>528915</v>
      </c>
      <c r="I14" s="198">
        <f t="shared" si="4"/>
        <v>536849</v>
      </c>
      <c r="J14" s="198">
        <f t="shared" si="4"/>
        <v>544902</v>
      </c>
      <c r="K14" s="198">
        <f t="shared" si="4"/>
        <v>553076</v>
      </c>
      <c r="L14" s="198">
        <f t="shared" si="4"/>
        <v>561372</v>
      </c>
      <c r="M14" s="198">
        <f>ROUND(L14*101.5%,0)</f>
        <v>569793</v>
      </c>
      <c r="N14" s="169">
        <f t="shared" si="3"/>
        <v>586886.79</v>
      </c>
    </row>
    <row r="15" spans="1:14" s="65" customFormat="1" ht="12.75" customHeight="1">
      <c r="A15" s="168" t="s">
        <v>117</v>
      </c>
      <c r="B15" s="46" t="s">
        <v>90</v>
      </c>
      <c r="C15" s="198">
        <v>6978276</v>
      </c>
      <c r="D15" s="198">
        <v>6107605</v>
      </c>
      <c r="E15" s="198">
        <v>8000000</v>
      </c>
      <c r="F15" s="198">
        <f>ROUND(E15*101.5%,0)</f>
        <v>8120000</v>
      </c>
      <c r="G15" s="198">
        <f>ROUND(F15*101.5%,0)</f>
        <v>8241800</v>
      </c>
      <c r="H15" s="198">
        <f aca="true" t="shared" si="5" ref="H15:M15">ROUND(G15*101.5%,0)</f>
        <v>8365427</v>
      </c>
      <c r="I15" s="198">
        <f t="shared" si="5"/>
        <v>8490908</v>
      </c>
      <c r="J15" s="198">
        <f t="shared" si="5"/>
        <v>8618272</v>
      </c>
      <c r="K15" s="198">
        <f t="shared" si="5"/>
        <v>8747546</v>
      </c>
      <c r="L15" s="198">
        <f t="shared" si="5"/>
        <v>8878759</v>
      </c>
      <c r="M15" s="198">
        <f t="shared" si="5"/>
        <v>9011940</v>
      </c>
      <c r="N15" s="169">
        <f t="shared" si="3"/>
        <v>9282298.200000001</v>
      </c>
    </row>
    <row r="16" spans="1:14" s="65" customFormat="1" ht="15">
      <c r="A16" s="170" t="s">
        <v>55</v>
      </c>
      <c r="B16" s="171" t="s">
        <v>174</v>
      </c>
      <c r="C16" s="199">
        <v>31501963</v>
      </c>
      <c r="D16" s="206">
        <v>33600037</v>
      </c>
      <c r="E16" s="63">
        <f>ROUND(D16*101.5%,0)</f>
        <v>34104038</v>
      </c>
      <c r="F16" s="63">
        <f aca="true" t="shared" si="6" ref="F16:M16">ROUND(E16*101.5%,0)</f>
        <v>34615599</v>
      </c>
      <c r="G16" s="63">
        <f t="shared" si="6"/>
        <v>35134833</v>
      </c>
      <c r="H16" s="63">
        <f t="shared" si="6"/>
        <v>35661855</v>
      </c>
      <c r="I16" s="63">
        <f t="shared" si="6"/>
        <v>36196783</v>
      </c>
      <c r="J16" s="63">
        <f t="shared" si="6"/>
        <v>36739735</v>
      </c>
      <c r="K16" s="63">
        <f t="shared" si="6"/>
        <v>37290831</v>
      </c>
      <c r="L16" s="63">
        <f t="shared" si="6"/>
        <v>37850193</v>
      </c>
      <c r="M16" s="63">
        <f t="shared" si="6"/>
        <v>38417946</v>
      </c>
      <c r="N16" s="172">
        <f t="shared" si="3"/>
        <v>39570484.38</v>
      </c>
    </row>
    <row r="17" spans="1:14" s="56" customFormat="1" ht="30" customHeight="1">
      <c r="A17" s="93" t="s">
        <v>59</v>
      </c>
      <c r="B17" s="173" t="s">
        <v>91</v>
      </c>
      <c r="C17" s="67">
        <v>4442839</v>
      </c>
      <c r="D17" s="67">
        <v>4885556</v>
      </c>
      <c r="E17" s="63">
        <v>5000000</v>
      </c>
      <c r="F17" s="63">
        <f aca="true" t="shared" si="7" ref="F17:M19">ROUND(E17*101.5%,0)</f>
        <v>5075000</v>
      </c>
      <c r="G17" s="63">
        <f t="shared" si="7"/>
        <v>5151125</v>
      </c>
      <c r="H17" s="63">
        <f t="shared" si="7"/>
        <v>5228392</v>
      </c>
      <c r="I17" s="63">
        <f t="shared" si="7"/>
        <v>5306818</v>
      </c>
      <c r="J17" s="63">
        <f t="shared" si="7"/>
        <v>5386420</v>
      </c>
      <c r="K17" s="63">
        <f t="shared" si="7"/>
        <v>5467216</v>
      </c>
      <c r="L17" s="63">
        <f t="shared" si="7"/>
        <v>5549224</v>
      </c>
      <c r="M17" s="63">
        <f t="shared" si="7"/>
        <v>5632462</v>
      </c>
      <c r="N17" s="200">
        <f t="shared" si="3"/>
        <v>5801435.86</v>
      </c>
    </row>
    <row r="18" spans="1:14" s="56" customFormat="1" ht="15">
      <c r="A18" s="93" t="s">
        <v>60</v>
      </c>
      <c r="B18" s="174" t="s">
        <v>175</v>
      </c>
      <c r="C18" s="63">
        <v>3606903</v>
      </c>
      <c r="D18" s="63">
        <v>3363976</v>
      </c>
      <c r="E18" s="63">
        <v>3500000</v>
      </c>
      <c r="F18" s="63">
        <f t="shared" si="7"/>
        <v>3552500</v>
      </c>
      <c r="G18" s="63">
        <f t="shared" si="7"/>
        <v>3605788</v>
      </c>
      <c r="H18" s="63">
        <f t="shared" si="7"/>
        <v>3659875</v>
      </c>
      <c r="I18" s="63">
        <f t="shared" si="7"/>
        <v>3714773</v>
      </c>
      <c r="J18" s="63">
        <f t="shared" si="7"/>
        <v>3770495</v>
      </c>
      <c r="K18" s="63">
        <f t="shared" si="7"/>
        <v>3827052</v>
      </c>
      <c r="L18" s="63">
        <f t="shared" si="7"/>
        <v>3884458</v>
      </c>
      <c r="M18" s="63">
        <f t="shared" si="7"/>
        <v>3942725</v>
      </c>
      <c r="N18" s="200">
        <f t="shared" si="3"/>
        <v>4061006.75</v>
      </c>
    </row>
    <row r="19" spans="1:14" s="56" customFormat="1" ht="15">
      <c r="A19" s="93" t="s">
        <v>63</v>
      </c>
      <c r="B19" s="174" t="s">
        <v>92</v>
      </c>
      <c r="C19" s="63">
        <v>869558</v>
      </c>
      <c r="D19" s="63">
        <v>510267</v>
      </c>
      <c r="E19" s="63">
        <v>900000</v>
      </c>
      <c r="F19" s="63">
        <f t="shared" si="7"/>
        <v>913500</v>
      </c>
      <c r="G19" s="63">
        <f t="shared" si="7"/>
        <v>927203</v>
      </c>
      <c r="H19" s="63">
        <f t="shared" si="7"/>
        <v>941111</v>
      </c>
      <c r="I19" s="63">
        <f t="shared" si="7"/>
        <v>955228</v>
      </c>
      <c r="J19" s="63">
        <f t="shared" si="7"/>
        <v>969556</v>
      </c>
      <c r="K19" s="63">
        <f t="shared" si="7"/>
        <v>984099</v>
      </c>
      <c r="L19" s="63">
        <f t="shared" si="7"/>
        <v>998860</v>
      </c>
      <c r="M19" s="63">
        <f t="shared" si="7"/>
        <v>1013843</v>
      </c>
      <c r="N19" s="172">
        <f t="shared" si="3"/>
        <v>1044258.29</v>
      </c>
    </row>
    <row r="20" spans="1:14" s="165" customFormat="1" ht="16.5">
      <c r="A20" s="163" t="s">
        <v>118</v>
      </c>
      <c r="B20" s="164" t="s">
        <v>243</v>
      </c>
      <c r="C20" s="197">
        <f aca="true" t="shared" si="8" ref="C20:L20">C21+C25</f>
        <v>63133833</v>
      </c>
      <c r="D20" s="197">
        <f>SUM(D25,D21)</f>
        <v>62115056</v>
      </c>
      <c r="E20" s="197">
        <f t="shared" si="8"/>
        <v>60171030</v>
      </c>
      <c r="F20" s="197">
        <f t="shared" si="8"/>
        <v>59172350</v>
      </c>
      <c r="G20" s="197">
        <f t="shared" si="8"/>
        <v>59000000</v>
      </c>
      <c r="H20" s="197">
        <f t="shared" si="8"/>
        <v>59500000</v>
      </c>
      <c r="I20" s="197">
        <f t="shared" si="8"/>
        <v>59000000</v>
      </c>
      <c r="J20" s="197">
        <f t="shared" si="8"/>
        <v>60500000</v>
      </c>
      <c r="K20" s="197">
        <f t="shared" si="8"/>
        <v>64000000</v>
      </c>
      <c r="L20" s="197">
        <f t="shared" si="8"/>
        <v>62000000</v>
      </c>
      <c r="M20" s="197">
        <f>M21+M25</f>
        <v>62500000</v>
      </c>
      <c r="N20" s="172">
        <f>SUM(N21,N25)</f>
        <v>63500000</v>
      </c>
    </row>
    <row r="21" spans="1:14" s="65" customFormat="1" ht="15">
      <c r="A21" s="166" t="s">
        <v>326</v>
      </c>
      <c r="B21" s="167" t="s">
        <v>51</v>
      </c>
      <c r="C21" s="197">
        <v>56082056</v>
      </c>
      <c r="D21" s="197">
        <f>62115056-4235264</f>
        <v>57879792</v>
      </c>
      <c r="E21" s="63">
        <v>56000000</v>
      </c>
      <c r="F21" s="63">
        <v>56500000</v>
      </c>
      <c r="G21" s="63">
        <v>57000000</v>
      </c>
      <c r="H21" s="63">
        <v>58500000</v>
      </c>
      <c r="I21" s="63">
        <v>58000000</v>
      </c>
      <c r="J21" s="63">
        <v>59500000</v>
      </c>
      <c r="K21" s="63">
        <v>63000000</v>
      </c>
      <c r="L21" s="63">
        <v>61500000</v>
      </c>
      <c r="M21" s="63">
        <v>62000000</v>
      </c>
      <c r="N21" s="172">
        <v>63000000</v>
      </c>
    </row>
    <row r="22" spans="1:14" s="65" customFormat="1" ht="12.75" customHeight="1" hidden="1">
      <c r="A22" s="175" t="s">
        <v>115</v>
      </c>
      <c r="B22" s="46" t="s">
        <v>93</v>
      </c>
      <c r="C22" s="198">
        <f>SUM(C23:C24)</f>
        <v>973415</v>
      </c>
      <c r="D22" s="198">
        <f>SUM(D23:D24)</f>
        <v>1326594</v>
      </c>
      <c r="E22" s="198">
        <f aca="true" t="shared" si="9" ref="E22:L22">SUM(E23:E24)</f>
        <v>1344287</v>
      </c>
      <c r="F22" s="198">
        <f t="shared" si="9"/>
        <v>1246085</v>
      </c>
      <c r="G22" s="198">
        <f t="shared" si="9"/>
        <v>1066506</v>
      </c>
      <c r="H22" s="198">
        <f t="shared" si="9"/>
        <v>938349</v>
      </c>
      <c r="I22" s="198">
        <f t="shared" si="9"/>
        <v>701792</v>
      </c>
      <c r="J22" s="198">
        <f t="shared" si="9"/>
        <v>543482</v>
      </c>
      <c r="K22" s="198">
        <f t="shared" si="9"/>
        <v>315700</v>
      </c>
      <c r="L22" s="198">
        <f t="shared" si="9"/>
        <v>161100</v>
      </c>
      <c r="M22" s="198">
        <f>SUM(M23:M24)</f>
        <v>161100</v>
      </c>
      <c r="N22" s="169">
        <f>SUM(N23:N24)</f>
        <v>0</v>
      </c>
    </row>
    <row r="23" spans="1:14" s="65" customFormat="1" ht="12.75" hidden="1">
      <c r="A23" s="176"/>
      <c r="B23" s="181" t="s">
        <v>94</v>
      </c>
      <c r="C23" s="198">
        <v>667000</v>
      </c>
      <c r="D23" s="198">
        <f>1326594-D24</f>
        <v>1177000</v>
      </c>
      <c r="E23" s="198">
        <f>1623000-524713</f>
        <v>1098287</v>
      </c>
      <c r="F23" s="198">
        <v>1082085</v>
      </c>
      <c r="G23" s="198">
        <v>1066506</v>
      </c>
      <c r="H23" s="198">
        <v>938349</v>
      </c>
      <c r="I23" s="198">
        <v>701792</v>
      </c>
      <c r="J23" s="198">
        <v>543482</v>
      </c>
      <c r="K23" s="198">
        <v>315700</v>
      </c>
      <c r="L23" s="198">
        <v>161100</v>
      </c>
      <c r="M23" s="198">
        <v>161100</v>
      </c>
      <c r="N23" s="169"/>
    </row>
    <row r="24" spans="1:14" s="65" customFormat="1" ht="12.75" hidden="1">
      <c r="A24" s="176"/>
      <c r="B24" s="181" t="s">
        <v>95</v>
      </c>
      <c r="C24" s="198">
        <v>306415</v>
      </c>
      <c r="D24" s="198">
        <v>149594</v>
      </c>
      <c r="E24" s="198">
        <v>246000</v>
      </c>
      <c r="F24" s="198">
        <v>164000</v>
      </c>
      <c r="G24" s="198">
        <v>0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69">
        <v>0</v>
      </c>
    </row>
    <row r="25" spans="1:14" s="65" customFormat="1" ht="15">
      <c r="A25" s="166" t="s">
        <v>55</v>
      </c>
      <c r="B25" s="167" t="s">
        <v>96</v>
      </c>
      <c r="C25" s="197">
        <v>7051777</v>
      </c>
      <c r="D25" s="197">
        <v>4235264</v>
      </c>
      <c r="E25" s="197">
        <v>4171030</v>
      </c>
      <c r="F25" s="197">
        <v>2672350</v>
      </c>
      <c r="G25" s="197">
        <v>2000000</v>
      </c>
      <c r="H25" s="197">
        <v>1000000</v>
      </c>
      <c r="I25" s="197">
        <v>1000000</v>
      </c>
      <c r="J25" s="197">
        <v>1000000</v>
      </c>
      <c r="K25" s="197">
        <v>1000000</v>
      </c>
      <c r="L25" s="197">
        <v>500000</v>
      </c>
      <c r="M25" s="197">
        <v>500000</v>
      </c>
      <c r="N25" s="172">
        <v>500000</v>
      </c>
    </row>
    <row r="26" spans="1:14" s="165" customFormat="1" ht="16.5">
      <c r="A26" s="163" t="s">
        <v>119</v>
      </c>
      <c r="B26" s="164" t="s">
        <v>97</v>
      </c>
      <c r="C26" s="197">
        <f>C11-C20</f>
        <v>-7553168</v>
      </c>
      <c r="D26" s="197">
        <f>D11-D20</f>
        <v>-4662954</v>
      </c>
      <c r="E26" s="197">
        <f aca="true" t="shared" si="10" ref="E26:L26">E11-E20</f>
        <v>452439</v>
      </c>
      <c r="F26" s="197">
        <f t="shared" si="10"/>
        <v>2360471</v>
      </c>
      <c r="G26" s="197">
        <f t="shared" si="10"/>
        <v>3455814</v>
      </c>
      <c r="H26" s="197">
        <f t="shared" si="10"/>
        <v>3892650</v>
      </c>
      <c r="I26" s="197">
        <f t="shared" si="10"/>
        <v>5343540</v>
      </c>
      <c r="J26" s="197">
        <f t="shared" si="10"/>
        <v>4808694</v>
      </c>
      <c r="K26" s="197">
        <f t="shared" si="10"/>
        <v>2288324</v>
      </c>
      <c r="L26" s="197">
        <f t="shared" si="10"/>
        <v>5282648</v>
      </c>
      <c r="M26" s="197">
        <f>M11-M20</f>
        <v>6291888</v>
      </c>
      <c r="N26" s="172">
        <f>N11-N20</f>
        <v>7355644.640000001</v>
      </c>
    </row>
    <row r="27" spans="1:14" s="178" customFormat="1" ht="38.25" customHeight="1">
      <c r="A27" s="163" t="s">
        <v>136</v>
      </c>
      <c r="B27" s="177" t="s">
        <v>98</v>
      </c>
      <c r="C27" s="197">
        <v>13233971</v>
      </c>
      <c r="D27" s="197">
        <f>SUM(C44)</f>
        <v>20733971</v>
      </c>
      <c r="E27" s="197">
        <f aca="true" t="shared" si="11" ref="E27:N27">SUM(D41)</f>
        <v>24093712</v>
      </c>
      <c r="F27" s="197">
        <f t="shared" si="11"/>
        <v>23641273</v>
      </c>
      <c r="G27" s="197">
        <f t="shared" si="11"/>
        <v>21280802</v>
      </c>
      <c r="H27" s="197">
        <f t="shared" si="11"/>
        <v>17824988</v>
      </c>
      <c r="I27" s="197">
        <f t="shared" si="11"/>
        <v>13932338</v>
      </c>
      <c r="J27" s="197">
        <f t="shared" si="11"/>
        <v>8588798</v>
      </c>
      <c r="K27" s="197">
        <f t="shared" si="11"/>
        <v>3780104</v>
      </c>
      <c r="L27" s="197">
        <f t="shared" si="11"/>
        <v>1491780</v>
      </c>
      <c r="M27" s="197">
        <f t="shared" si="11"/>
        <v>91780</v>
      </c>
      <c r="N27" s="172">
        <f t="shared" si="11"/>
        <v>0</v>
      </c>
    </row>
    <row r="28" spans="1:14" s="179" customFormat="1" ht="30" customHeight="1">
      <c r="A28" s="166" t="s">
        <v>159</v>
      </c>
      <c r="B28" s="173" t="s">
        <v>484</v>
      </c>
      <c r="C28" s="195">
        <v>9904000</v>
      </c>
      <c r="D28" s="195">
        <f>SUM('zał2-sfin'!F14)</f>
        <v>6583341</v>
      </c>
      <c r="E28" s="195">
        <f aca="true" t="shared" si="12" ref="E28:K28">-E26+E32+E36+E39</f>
        <v>4205561</v>
      </c>
      <c r="F28" s="195">
        <f t="shared" si="12"/>
        <v>1499529</v>
      </c>
      <c r="G28" s="195">
        <f t="shared" si="12"/>
        <v>394186</v>
      </c>
      <c r="H28" s="195">
        <f t="shared" si="12"/>
        <v>357350</v>
      </c>
      <c r="I28" s="195">
        <f t="shared" si="12"/>
        <v>294831</v>
      </c>
      <c r="J28" s="195">
        <f t="shared" si="12"/>
        <v>215306</v>
      </c>
      <c r="K28" s="195">
        <f t="shared" si="12"/>
        <v>361676</v>
      </c>
      <c r="L28" s="195">
        <v>0</v>
      </c>
      <c r="M28" s="195">
        <v>0</v>
      </c>
      <c r="N28" s="172">
        <f>240162+N31+N39</f>
        <v>3551162</v>
      </c>
    </row>
    <row r="29" spans="1:14" s="179" customFormat="1" ht="15" customHeight="1" hidden="1">
      <c r="A29" s="166">
        <v>2</v>
      </c>
      <c r="B29" s="173" t="s">
        <v>99</v>
      </c>
      <c r="C29" s="196" t="s">
        <v>188</v>
      </c>
      <c r="D29" s="196" t="s">
        <v>188</v>
      </c>
      <c r="E29" s="196" t="s">
        <v>188</v>
      </c>
      <c r="F29" s="196" t="s">
        <v>188</v>
      </c>
      <c r="G29" s="196" t="s">
        <v>188</v>
      </c>
      <c r="H29" s="196" t="s">
        <v>188</v>
      </c>
      <c r="I29" s="196" t="s">
        <v>188</v>
      </c>
      <c r="J29" s="196" t="s">
        <v>188</v>
      </c>
      <c r="K29" s="196" t="s">
        <v>188</v>
      </c>
      <c r="L29" s="196" t="s">
        <v>188</v>
      </c>
      <c r="M29" s="196" t="s">
        <v>188</v>
      </c>
      <c r="N29" s="352" t="s">
        <v>188</v>
      </c>
    </row>
    <row r="30" spans="1:14" s="179" customFormat="1" ht="15" customHeight="1">
      <c r="A30" s="166" t="s">
        <v>160</v>
      </c>
      <c r="B30" s="174" t="s">
        <v>325</v>
      </c>
      <c r="C30" s="196">
        <f>SUM(C31,C35,C39,C40)</f>
        <v>3191057</v>
      </c>
      <c r="D30" s="196">
        <f aca="true" t="shared" si="13" ref="D30:M30">SUM(D31,D35,D39,D40)</f>
        <v>4700194</v>
      </c>
      <c r="E30" s="196">
        <f t="shared" si="13"/>
        <v>6540064</v>
      </c>
      <c r="F30" s="196">
        <f t="shared" si="13"/>
        <v>5529040</v>
      </c>
      <c r="G30" s="196">
        <f t="shared" si="13"/>
        <v>5311249</v>
      </c>
      <c r="H30" s="196">
        <f t="shared" si="13"/>
        <v>5476617</v>
      </c>
      <c r="I30" s="196">
        <f t="shared" si="13"/>
        <v>6427811</v>
      </c>
      <c r="J30" s="196">
        <f t="shared" si="13"/>
        <v>5553005</v>
      </c>
      <c r="K30" s="196">
        <f t="shared" si="13"/>
        <v>3044589</v>
      </c>
      <c r="L30" s="196">
        <f t="shared" si="13"/>
        <v>1739940</v>
      </c>
      <c r="M30" s="196">
        <f t="shared" si="13"/>
        <v>316780</v>
      </c>
      <c r="N30" s="352"/>
    </row>
    <row r="31" spans="1:14" s="179" customFormat="1" ht="30">
      <c r="A31" s="166" t="s">
        <v>326</v>
      </c>
      <c r="B31" s="173" t="s">
        <v>54</v>
      </c>
      <c r="C31" s="197">
        <f>SUM(C32:C34)</f>
        <v>1191057</v>
      </c>
      <c r="D31" s="197">
        <f aca="true" t="shared" si="14" ref="D31:M31">SUM(D32:D34)</f>
        <v>3263194</v>
      </c>
      <c r="E31" s="197">
        <f t="shared" si="14"/>
        <v>2640064</v>
      </c>
      <c r="F31" s="197">
        <f t="shared" si="14"/>
        <v>3924040</v>
      </c>
      <c r="G31" s="197">
        <f t="shared" si="14"/>
        <v>3941249</v>
      </c>
      <c r="H31" s="197">
        <f t="shared" si="14"/>
        <v>3446617</v>
      </c>
      <c r="I31" s="197">
        <f t="shared" si="14"/>
        <v>3467811</v>
      </c>
      <c r="J31" s="197">
        <f t="shared" si="14"/>
        <v>2093005</v>
      </c>
      <c r="K31" s="197">
        <f t="shared" si="14"/>
        <v>524589</v>
      </c>
      <c r="L31" s="197">
        <f t="shared" si="14"/>
        <v>0</v>
      </c>
      <c r="M31" s="197">
        <f t="shared" si="14"/>
        <v>0</v>
      </c>
      <c r="N31" s="172">
        <v>2311000</v>
      </c>
    </row>
    <row r="32" spans="1:14" s="179" customFormat="1" ht="15" customHeight="1">
      <c r="A32" s="168" t="s">
        <v>327</v>
      </c>
      <c r="B32" s="46" t="s">
        <v>328</v>
      </c>
      <c r="C32" s="198">
        <v>404000</v>
      </c>
      <c r="D32" s="198">
        <v>2223600</v>
      </c>
      <c r="E32" s="198">
        <v>1458000</v>
      </c>
      <c r="F32" s="198">
        <v>2860000</v>
      </c>
      <c r="G32" s="198">
        <v>3050000</v>
      </c>
      <c r="H32" s="198">
        <v>2750000</v>
      </c>
      <c r="I32" s="198">
        <v>3038371</v>
      </c>
      <c r="J32" s="198">
        <v>1904000</v>
      </c>
      <c r="K32" s="198">
        <v>450000</v>
      </c>
      <c r="L32" s="198">
        <v>0</v>
      </c>
      <c r="M32" s="198">
        <v>0</v>
      </c>
      <c r="N32" s="169">
        <v>0</v>
      </c>
    </row>
    <row r="33" spans="1:14" s="179" customFormat="1" ht="51" hidden="1">
      <c r="A33" s="168" t="s">
        <v>116</v>
      </c>
      <c r="B33" s="46" t="s">
        <v>52</v>
      </c>
      <c r="C33" s="198">
        <v>0</v>
      </c>
      <c r="D33" s="198">
        <v>0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69"/>
    </row>
    <row r="34" spans="1:14" s="179" customFormat="1" ht="15" customHeight="1">
      <c r="A34" s="168" t="s">
        <v>116</v>
      </c>
      <c r="B34" s="46" t="s">
        <v>53</v>
      </c>
      <c r="C34" s="198">
        <v>787057</v>
      </c>
      <c r="D34" s="198">
        <f>890000+149594</f>
        <v>1039594</v>
      </c>
      <c r="E34" s="198">
        <f>ROUND(E44*5%,0)</f>
        <v>1182064</v>
      </c>
      <c r="F34" s="198">
        <f aca="true" t="shared" si="15" ref="F34:N34">ROUND(F44*5%,0)</f>
        <v>1064040</v>
      </c>
      <c r="G34" s="198">
        <f t="shared" si="15"/>
        <v>891249</v>
      </c>
      <c r="H34" s="198">
        <f t="shared" si="15"/>
        <v>696617</v>
      </c>
      <c r="I34" s="198">
        <f t="shared" si="15"/>
        <v>429440</v>
      </c>
      <c r="J34" s="198">
        <f t="shared" si="15"/>
        <v>189005</v>
      </c>
      <c r="K34" s="198">
        <f t="shared" si="15"/>
        <v>74589</v>
      </c>
      <c r="L34" s="198">
        <v>0</v>
      </c>
      <c r="M34" s="198">
        <v>0</v>
      </c>
      <c r="N34" s="353">
        <f t="shared" si="15"/>
        <v>12008</v>
      </c>
    </row>
    <row r="35" spans="1:14" s="179" customFormat="1" ht="30">
      <c r="A35" s="166" t="s">
        <v>55</v>
      </c>
      <c r="B35" s="173" t="s">
        <v>56</v>
      </c>
      <c r="C35" s="197">
        <f>SUM(C36:C38)</f>
        <v>0</v>
      </c>
      <c r="D35" s="197">
        <f aca="true" t="shared" si="16" ref="D35:M35">SUM(D36:D38)</f>
        <v>287000</v>
      </c>
      <c r="E35" s="197">
        <f t="shared" si="16"/>
        <v>1750000</v>
      </c>
      <c r="F35" s="197">
        <f t="shared" si="16"/>
        <v>1455000</v>
      </c>
      <c r="G35" s="197">
        <f t="shared" si="16"/>
        <v>1220000</v>
      </c>
      <c r="H35" s="197">
        <f t="shared" si="16"/>
        <v>1880000</v>
      </c>
      <c r="I35" s="197">
        <f t="shared" si="16"/>
        <v>2960000</v>
      </c>
      <c r="J35" s="197">
        <f t="shared" si="16"/>
        <v>3460000</v>
      </c>
      <c r="K35" s="197">
        <f t="shared" si="16"/>
        <v>2520000</v>
      </c>
      <c r="L35" s="197">
        <f t="shared" si="16"/>
        <v>1739940</v>
      </c>
      <c r="M35" s="197">
        <f t="shared" si="16"/>
        <v>316780</v>
      </c>
      <c r="N35" s="354"/>
    </row>
    <row r="36" spans="1:14" s="179" customFormat="1" ht="15" customHeight="1">
      <c r="A36" s="168" t="s">
        <v>327</v>
      </c>
      <c r="B36" s="46" t="s">
        <v>328</v>
      </c>
      <c r="C36" s="198">
        <v>0</v>
      </c>
      <c r="D36" s="198">
        <v>0</v>
      </c>
      <c r="E36" s="198">
        <v>1200000</v>
      </c>
      <c r="F36" s="198">
        <v>1000000</v>
      </c>
      <c r="G36" s="198">
        <v>800000</v>
      </c>
      <c r="H36" s="198">
        <v>1500000</v>
      </c>
      <c r="I36" s="198">
        <v>2600000</v>
      </c>
      <c r="J36" s="198">
        <f>3100000+20000</f>
        <v>3120000</v>
      </c>
      <c r="K36" s="198">
        <v>2200000</v>
      </c>
      <c r="L36" s="198">
        <v>1400000</v>
      </c>
      <c r="M36" s="198">
        <v>91780</v>
      </c>
      <c r="N36" s="169"/>
    </row>
    <row r="37" spans="1:14" s="179" customFormat="1" ht="51" hidden="1">
      <c r="A37" s="168" t="s">
        <v>116</v>
      </c>
      <c r="B37" s="46" t="s">
        <v>52</v>
      </c>
      <c r="C37" s="198">
        <v>0</v>
      </c>
      <c r="D37" s="198">
        <v>0</v>
      </c>
      <c r="E37" s="198"/>
      <c r="F37" s="198"/>
      <c r="G37" s="198"/>
      <c r="H37" s="198"/>
      <c r="I37" s="198"/>
      <c r="J37" s="198"/>
      <c r="K37" s="198"/>
      <c r="L37" s="198"/>
      <c r="M37" s="198"/>
      <c r="N37" s="169"/>
    </row>
    <row r="38" spans="1:14" s="179" customFormat="1" ht="15" customHeight="1">
      <c r="A38" s="168" t="s">
        <v>116</v>
      </c>
      <c r="B38" s="46" t="s">
        <v>53</v>
      </c>
      <c r="C38" s="198">
        <v>0</v>
      </c>
      <c r="D38" s="198">
        <f>97000+190000</f>
        <v>287000</v>
      </c>
      <c r="E38" s="198">
        <v>550000</v>
      </c>
      <c r="F38" s="198">
        <v>455000</v>
      </c>
      <c r="G38" s="198">
        <v>420000</v>
      </c>
      <c r="H38" s="198">
        <v>380000</v>
      </c>
      <c r="I38" s="198">
        <v>360000</v>
      </c>
      <c r="J38" s="198">
        <v>340000</v>
      </c>
      <c r="K38" s="198">
        <v>320000</v>
      </c>
      <c r="L38" s="198">
        <f>250000+89940</f>
        <v>339940</v>
      </c>
      <c r="M38" s="198">
        <v>225000</v>
      </c>
      <c r="N38" s="169"/>
    </row>
    <row r="39" spans="1:14" s="179" customFormat="1" ht="15" customHeight="1">
      <c r="A39" s="166" t="s">
        <v>59</v>
      </c>
      <c r="B39" s="173" t="s">
        <v>58</v>
      </c>
      <c r="C39" s="197">
        <v>2000000</v>
      </c>
      <c r="D39" s="197">
        <v>1000000</v>
      </c>
      <c r="E39" s="197">
        <v>2000000</v>
      </c>
      <c r="F39" s="197">
        <v>0</v>
      </c>
      <c r="G39" s="197">
        <v>0</v>
      </c>
      <c r="H39" s="197">
        <v>0</v>
      </c>
      <c r="I39" s="197">
        <v>0</v>
      </c>
      <c r="J39" s="197">
        <v>0</v>
      </c>
      <c r="K39" s="197">
        <v>0</v>
      </c>
      <c r="L39" s="197">
        <v>0</v>
      </c>
      <c r="M39" s="197">
        <v>0</v>
      </c>
      <c r="N39" s="172">
        <v>1000000</v>
      </c>
    </row>
    <row r="40" spans="1:14" s="179" customFormat="1" ht="15" customHeight="1">
      <c r="A40" s="166" t="s">
        <v>60</v>
      </c>
      <c r="B40" s="173" t="s">
        <v>57</v>
      </c>
      <c r="C40" s="197">
        <v>0</v>
      </c>
      <c r="D40" s="197">
        <v>150000</v>
      </c>
      <c r="E40" s="197">
        <v>150000</v>
      </c>
      <c r="F40" s="197">
        <v>150000</v>
      </c>
      <c r="G40" s="197">
        <v>150000</v>
      </c>
      <c r="H40" s="197">
        <v>150000</v>
      </c>
      <c r="I40" s="197">
        <v>0</v>
      </c>
      <c r="J40" s="197">
        <v>0</v>
      </c>
      <c r="K40" s="197">
        <v>0</v>
      </c>
      <c r="L40" s="197">
        <v>0</v>
      </c>
      <c r="M40" s="197">
        <v>0</v>
      </c>
      <c r="N40" s="172">
        <v>0</v>
      </c>
    </row>
    <row r="41" spans="1:14" s="178" customFormat="1" ht="25.5" customHeight="1">
      <c r="A41" s="163" t="s">
        <v>161</v>
      </c>
      <c r="B41" s="177" t="s">
        <v>101</v>
      </c>
      <c r="C41" s="197">
        <f>SUM(C27+C28-C32-C36-C39)</f>
        <v>20733971</v>
      </c>
      <c r="D41" s="197">
        <f aca="true" t="shared" si="17" ref="D41:M41">SUM(D27+D28-D32-D36-D39)</f>
        <v>24093712</v>
      </c>
      <c r="E41" s="197">
        <f t="shared" si="17"/>
        <v>23641273</v>
      </c>
      <c r="F41" s="197">
        <f t="shared" si="17"/>
        <v>21280802</v>
      </c>
      <c r="G41" s="197">
        <f t="shared" si="17"/>
        <v>17824988</v>
      </c>
      <c r="H41" s="197">
        <f t="shared" si="17"/>
        <v>13932338</v>
      </c>
      <c r="I41" s="197">
        <f t="shared" si="17"/>
        <v>8588798</v>
      </c>
      <c r="J41" s="197">
        <f t="shared" si="17"/>
        <v>3780104</v>
      </c>
      <c r="K41" s="197">
        <f t="shared" si="17"/>
        <v>1491780</v>
      </c>
      <c r="L41" s="197">
        <f t="shared" si="17"/>
        <v>91780</v>
      </c>
      <c r="M41" s="197">
        <f t="shared" si="17"/>
        <v>0</v>
      </c>
      <c r="N41" s="172">
        <f>SUM(N27,N28,-N31,-N39)</f>
        <v>240162</v>
      </c>
    </row>
    <row r="42" spans="1:14" s="178" customFormat="1" ht="51" customHeight="1">
      <c r="A42" s="707" t="s">
        <v>163</v>
      </c>
      <c r="B42" s="643" t="s">
        <v>102</v>
      </c>
      <c r="C42" s="197">
        <f>SUM(C32,C36,C40,C39,C34,C38)</f>
        <v>3191057</v>
      </c>
      <c r="D42" s="197">
        <f>SUM(D32,D36,D40,D39,D34,D38)</f>
        <v>4700194</v>
      </c>
      <c r="E42" s="197">
        <f>SUM(E32,E36,E40,E39,E34,E38)</f>
        <v>6540064</v>
      </c>
      <c r="F42" s="197">
        <f aca="true" t="shared" si="18" ref="F42:M42">SUM(F32,F36,F40,F39,F34,F38)</f>
        <v>5529040</v>
      </c>
      <c r="G42" s="197">
        <f t="shared" si="18"/>
        <v>5311249</v>
      </c>
      <c r="H42" s="197">
        <f t="shared" si="18"/>
        <v>5476617</v>
      </c>
      <c r="I42" s="197">
        <f t="shared" si="18"/>
        <v>6427811</v>
      </c>
      <c r="J42" s="197">
        <f t="shared" si="18"/>
        <v>5553005</v>
      </c>
      <c r="K42" s="197">
        <f t="shared" si="18"/>
        <v>3044589</v>
      </c>
      <c r="L42" s="197">
        <f t="shared" si="18"/>
        <v>1739940</v>
      </c>
      <c r="M42" s="197">
        <f t="shared" si="18"/>
        <v>316780</v>
      </c>
      <c r="N42" s="172">
        <f>SUM(N31:N39,N22)</f>
        <v>3323008</v>
      </c>
    </row>
    <row r="43" spans="1:14" s="346" customFormat="1" ht="17.25" customHeight="1">
      <c r="A43" s="708"/>
      <c r="B43" s="645"/>
      <c r="C43" s="345">
        <f aca="true" t="shared" si="19" ref="C43:N43">C42/C11</f>
        <v>0.057413077011583075</v>
      </c>
      <c r="D43" s="345">
        <f t="shared" si="19"/>
        <v>0.08181065333344983</v>
      </c>
      <c r="E43" s="345">
        <f t="shared" si="19"/>
        <v>0.10788006869088933</v>
      </c>
      <c r="F43" s="345">
        <f t="shared" si="19"/>
        <v>0.08985513600944771</v>
      </c>
      <c r="G43" s="345">
        <f t="shared" si="19"/>
        <v>0.08504010531349411</v>
      </c>
      <c r="H43" s="345">
        <f t="shared" si="19"/>
        <v>0.08639198708367611</v>
      </c>
      <c r="I43" s="345">
        <f t="shared" si="19"/>
        <v>0.09989831146996264</v>
      </c>
      <c r="J43" s="345">
        <f t="shared" si="19"/>
        <v>0.08502704096333637</v>
      </c>
      <c r="K43" s="345">
        <f t="shared" si="19"/>
        <v>0.04592949129321779</v>
      </c>
      <c r="L43" s="345">
        <f t="shared" si="19"/>
        <v>0.0258601593682817</v>
      </c>
      <c r="M43" s="345">
        <f t="shared" si="19"/>
        <v>0.004604903415356183</v>
      </c>
      <c r="N43" s="355">
        <f t="shared" si="19"/>
        <v>0.04689828194893126</v>
      </c>
    </row>
    <row r="44" spans="1:14" s="178" customFormat="1" ht="25.5" customHeight="1">
      <c r="A44" s="163" t="s">
        <v>163</v>
      </c>
      <c r="B44" s="177" t="s">
        <v>61</v>
      </c>
      <c r="C44" s="197">
        <f>SUM(C45:C46)</f>
        <v>20733971</v>
      </c>
      <c r="D44" s="197">
        <f>SUM(D45:D46)</f>
        <v>24093712</v>
      </c>
      <c r="E44" s="197">
        <f aca="true" t="shared" si="20" ref="E44:L44">SUM(E45:E46)</f>
        <v>23641273</v>
      </c>
      <c r="F44" s="197">
        <f t="shared" si="20"/>
        <v>21280802</v>
      </c>
      <c r="G44" s="197">
        <f t="shared" si="20"/>
        <v>17824988</v>
      </c>
      <c r="H44" s="197">
        <f t="shared" si="20"/>
        <v>13932338</v>
      </c>
      <c r="I44" s="197">
        <f t="shared" si="20"/>
        <v>8588798</v>
      </c>
      <c r="J44" s="197">
        <f t="shared" si="20"/>
        <v>3780104</v>
      </c>
      <c r="K44" s="197">
        <f t="shared" si="20"/>
        <v>1491780</v>
      </c>
      <c r="L44" s="197">
        <f t="shared" si="20"/>
        <v>91780</v>
      </c>
      <c r="M44" s="197">
        <f>SUM(M45:M46)</f>
        <v>0</v>
      </c>
      <c r="N44" s="172">
        <f>SUM(N45:N46)</f>
        <v>240162</v>
      </c>
    </row>
    <row r="45" spans="1:14" s="179" customFormat="1" ht="15" customHeight="1" hidden="1">
      <c r="A45" s="166">
        <v>1</v>
      </c>
      <c r="B45" s="173" t="s">
        <v>103</v>
      </c>
      <c r="C45" s="196">
        <v>17733971</v>
      </c>
      <c r="D45" s="196">
        <f aca="true" t="shared" si="21" ref="D45:M45">C45+D28-D32-D36</f>
        <v>22093712</v>
      </c>
      <c r="E45" s="196">
        <f t="shared" si="21"/>
        <v>23641273</v>
      </c>
      <c r="F45" s="196">
        <f t="shared" si="21"/>
        <v>21280802</v>
      </c>
      <c r="G45" s="196">
        <f t="shared" si="21"/>
        <v>17824988</v>
      </c>
      <c r="H45" s="196">
        <f t="shared" si="21"/>
        <v>13932338</v>
      </c>
      <c r="I45" s="196">
        <f t="shared" si="21"/>
        <v>8588798</v>
      </c>
      <c r="J45" s="196">
        <f t="shared" si="21"/>
        <v>3780104</v>
      </c>
      <c r="K45" s="196">
        <f t="shared" si="21"/>
        <v>1491780</v>
      </c>
      <c r="L45" s="196">
        <f t="shared" si="21"/>
        <v>91780</v>
      </c>
      <c r="M45" s="196">
        <f t="shared" si="21"/>
        <v>0</v>
      </c>
      <c r="N45" s="172">
        <f>M45+N28-N31</f>
        <v>1240162</v>
      </c>
    </row>
    <row r="46" spans="1:14" s="179" customFormat="1" ht="15" customHeight="1" hidden="1">
      <c r="A46" s="166">
        <v>2</v>
      </c>
      <c r="B46" s="173" t="s">
        <v>99</v>
      </c>
      <c r="C46" s="196">
        <v>3000000</v>
      </c>
      <c r="D46" s="196">
        <f aca="true" t="shared" si="22" ref="D46:N46">C46-D39</f>
        <v>2000000</v>
      </c>
      <c r="E46" s="196">
        <f t="shared" si="22"/>
        <v>0</v>
      </c>
      <c r="F46" s="196">
        <f t="shared" si="22"/>
        <v>0</v>
      </c>
      <c r="G46" s="196">
        <f t="shared" si="22"/>
        <v>0</v>
      </c>
      <c r="H46" s="196">
        <f t="shared" si="22"/>
        <v>0</v>
      </c>
      <c r="I46" s="196">
        <f t="shared" si="22"/>
        <v>0</v>
      </c>
      <c r="J46" s="196">
        <f t="shared" si="22"/>
        <v>0</v>
      </c>
      <c r="K46" s="196">
        <f t="shared" si="22"/>
        <v>0</v>
      </c>
      <c r="L46" s="196">
        <f t="shared" si="22"/>
        <v>0</v>
      </c>
      <c r="M46" s="196">
        <f t="shared" si="22"/>
        <v>0</v>
      </c>
      <c r="N46" s="172">
        <f t="shared" si="22"/>
        <v>-1000000</v>
      </c>
    </row>
    <row r="47" spans="1:14" s="119" customFormat="1" ht="51">
      <c r="A47" s="209" t="s">
        <v>115</v>
      </c>
      <c r="B47" s="46" t="s">
        <v>62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200"/>
    </row>
    <row r="48" spans="1:14" s="221" customFormat="1" ht="21" customHeight="1">
      <c r="A48" s="93" t="s">
        <v>462</v>
      </c>
      <c r="B48" s="177" t="s">
        <v>368</v>
      </c>
      <c r="C48" s="222">
        <f aca="true" t="shared" si="23" ref="C48:N48">C44/C11</f>
        <v>0.37304287381232304</v>
      </c>
      <c r="D48" s="222">
        <f t="shared" si="23"/>
        <v>0.41937041746531745</v>
      </c>
      <c r="E48" s="222">
        <f t="shared" si="23"/>
        <v>0.38996899039215327</v>
      </c>
      <c r="F48" s="222">
        <f t="shared" si="23"/>
        <v>0.34584473219584716</v>
      </c>
      <c r="G48" s="222">
        <f t="shared" si="23"/>
        <v>0.2854015800674698</v>
      </c>
      <c r="H48" s="222">
        <f t="shared" si="23"/>
        <v>0.21977844434646604</v>
      </c>
      <c r="I48" s="222">
        <f t="shared" si="23"/>
        <v>0.13348345459388775</v>
      </c>
      <c r="J48" s="222">
        <f t="shared" si="23"/>
        <v>0.057880563344292264</v>
      </c>
      <c r="K48" s="222">
        <f t="shared" si="23"/>
        <v>0.02250441570977115</v>
      </c>
      <c r="L48" s="222">
        <f t="shared" si="23"/>
        <v>0.0013640961336717902</v>
      </c>
      <c r="M48" s="222">
        <f t="shared" si="23"/>
        <v>0</v>
      </c>
      <c r="N48" s="356">
        <f t="shared" si="23"/>
        <v>0.003389454731803002</v>
      </c>
    </row>
    <row r="49" spans="1:14" s="223" customFormat="1" ht="25.5">
      <c r="A49" s="93" t="s">
        <v>463</v>
      </c>
      <c r="B49" s="177" t="s">
        <v>369</v>
      </c>
      <c r="C49" s="224">
        <f>(C42/C11)</f>
        <v>0.057413077011583075</v>
      </c>
      <c r="D49" s="224">
        <f aca="true" t="shared" si="24" ref="D49:M49">(D42/D11)</f>
        <v>0.08181065333344983</v>
      </c>
      <c r="E49" s="224">
        <f t="shared" si="24"/>
        <v>0.10788006869088933</v>
      </c>
      <c r="F49" s="224">
        <f t="shared" si="24"/>
        <v>0.08985513600944771</v>
      </c>
      <c r="G49" s="224">
        <f t="shared" si="24"/>
        <v>0.08504010531349411</v>
      </c>
      <c r="H49" s="224">
        <f t="shared" si="24"/>
        <v>0.08639198708367611</v>
      </c>
      <c r="I49" s="224">
        <f t="shared" si="24"/>
        <v>0.09989831146996264</v>
      </c>
      <c r="J49" s="224">
        <f t="shared" si="24"/>
        <v>0.08502704096333637</v>
      </c>
      <c r="K49" s="224">
        <f t="shared" si="24"/>
        <v>0.04592949129321779</v>
      </c>
      <c r="L49" s="224">
        <f t="shared" si="24"/>
        <v>0.0258601593682817</v>
      </c>
      <c r="M49" s="224">
        <f t="shared" si="24"/>
        <v>0.004604903415356183</v>
      </c>
      <c r="N49" s="357"/>
    </row>
    <row r="50" spans="1:14" s="121" customFormat="1" ht="17.25" customHeight="1">
      <c r="A50" s="159" t="s">
        <v>464</v>
      </c>
      <c r="B50" s="177" t="s">
        <v>370</v>
      </c>
      <c r="C50" s="224">
        <f aca="true" t="shared" si="25" ref="C50:M50">C44/C11</f>
        <v>0.37304287381232304</v>
      </c>
      <c r="D50" s="224">
        <f t="shared" si="25"/>
        <v>0.41937041746531745</v>
      </c>
      <c r="E50" s="224">
        <f t="shared" si="25"/>
        <v>0.38996899039215327</v>
      </c>
      <c r="F50" s="224">
        <f t="shared" si="25"/>
        <v>0.34584473219584716</v>
      </c>
      <c r="G50" s="224">
        <f t="shared" si="25"/>
        <v>0.2854015800674698</v>
      </c>
      <c r="H50" s="224">
        <f t="shared" si="25"/>
        <v>0.21977844434646604</v>
      </c>
      <c r="I50" s="224">
        <f t="shared" si="25"/>
        <v>0.13348345459388775</v>
      </c>
      <c r="J50" s="224">
        <f t="shared" si="25"/>
        <v>0.057880563344292264</v>
      </c>
      <c r="K50" s="224">
        <f t="shared" si="25"/>
        <v>0.02250441570977115</v>
      </c>
      <c r="L50" s="224">
        <f t="shared" si="25"/>
        <v>0.0013640961336717902</v>
      </c>
      <c r="M50" s="224">
        <f t="shared" si="25"/>
        <v>0</v>
      </c>
      <c r="N50" s="357"/>
    </row>
    <row r="51" spans="1:14" s="121" customFormat="1" ht="24.75" customHeight="1">
      <c r="A51" s="159" t="s">
        <v>465</v>
      </c>
      <c r="B51" s="177" t="s">
        <v>371</v>
      </c>
      <c r="C51" s="224">
        <f>C42/C11</f>
        <v>0.057413077011583075</v>
      </c>
      <c r="D51" s="224">
        <f aca="true" t="shared" si="26" ref="D51:M51">D42/D11</f>
        <v>0.08181065333344983</v>
      </c>
      <c r="E51" s="224">
        <f t="shared" si="26"/>
        <v>0.10788006869088933</v>
      </c>
      <c r="F51" s="224">
        <f t="shared" si="26"/>
        <v>0.08985513600944771</v>
      </c>
      <c r="G51" s="224">
        <f t="shared" si="26"/>
        <v>0.08504010531349411</v>
      </c>
      <c r="H51" s="224">
        <f t="shared" si="26"/>
        <v>0.08639198708367611</v>
      </c>
      <c r="I51" s="224">
        <f t="shared" si="26"/>
        <v>0.09989831146996264</v>
      </c>
      <c r="J51" s="224">
        <f t="shared" si="26"/>
        <v>0.08502704096333637</v>
      </c>
      <c r="K51" s="224">
        <f t="shared" si="26"/>
        <v>0.04592949129321779</v>
      </c>
      <c r="L51" s="224">
        <f t="shared" si="26"/>
        <v>0.0258601593682817</v>
      </c>
      <c r="M51" s="224">
        <f t="shared" si="26"/>
        <v>0.004604903415356183</v>
      </c>
      <c r="N51" s="357"/>
    </row>
  </sheetData>
  <mergeCells count="5">
    <mergeCell ref="G7:J7"/>
    <mergeCell ref="K7:N7"/>
    <mergeCell ref="A42:A43"/>
    <mergeCell ref="B42:B43"/>
    <mergeCell ref="C7:C8"/>
  </mergeCells>
  <printOptions/>
  <pageMargins left="0.71" right="0.33" top="0.27" bottom="0.69" header="0.89" footer="0.34"/>
  <pageSetup horizontalDpi="600" verticalDpi="600" orientation="portrait" paperSize="9" scale="93" r:id="rId1"/>
  <headerFooter alignWithMargins="0">
    <oddHeader>&amp;C&amp;"Arial CE,Pogrubiony"&amp;14Prognozowana sytuacja finansowa powiatu w latach spłaty długu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7"/>
  <sheetViews>
    <sheetView workbookViewId="0" topLeftCell="A1">
      <selection activeCell="G2" sqref="G2:G3"/>
    </sheetView>
  </sheetViews>
  <sheetFormatPr defaultColWidth="9.00390625" defaultRowHeight="12.75"/>
  <cols>
    <col min="1" max="1" width="4.875" style="90" bestFit="1" customWidth="1"/>
    <col min="2" max="2" width="7.75390625" style="90" bestFit="1" customWidth="1"/>
    <col min="3" max="3" width="8.125" style="90" bestFit="1" customWidth="1"/>
    <col min="4" max="4" width="32.125" style="91" customWidth="1"/>
    <col min="5" max="5" width="15.625" style="69" customWidth="1"/>
    <col min="6" max="6" width="13.25390625" style="96" customWidth="1"/>
    <col min="7" max="7" width="12.875" style="399" customWidth="1"/>
    <col min="8" max="16384" width="9.125" style="91" customWidth="1"/>
  </cols>
  <sheetData>
    <row r="1" spans="5:7" ht="12.75">
      <c r="E1" s="98"/>
      <c r="F1" s="91"/>
      <c r="G1" s="73" t="s">
        <v>500</v>
      </c>
    </row>
    <row r="2" spans="5:7" ht="14.25">
      <c r="E2" s="98"/>
      <c r="F2" s="98"/>
      <c r="G2" s="95" t="s">
        <v>506</v>
      </c>
    </row>
    <row r="3" spans="5:7" ht="14.25">
      <c r="E3" s="98"/>
      <c r="F3" s="98"/>
      <c r="G3" s="95" t="s">
        <v>507</v>
      </c>
    </row>
    <row r="4" ht="6.75" customHeight="1">
      <c r="G4" s="398"/>
    </row>
    <row r="5" ht="6.75" customHeight="1">
      <c r="G5" s="65"/>
    </row>
    <row r="6" spans="1:7" ht="12.75">
      <c r="A6" s="546" t="s">
        <v>246</v>
      </c>
      <c r="B6" s="546"/>
      <c r="C6" s="546"/>
      <c r="D6" s="546"/>
      <c r="E6" s="546"/>
      <c r="F6" s="546"/>
      <c r="G6" s="546"/>
    </row>
    <row r="7" spans="1:7" ht="12.75">
      <c r="A7" s="546" t="s">
        <v>449</v>
      </c>
      <c r="B7" s="546"/>
      <c r="C7" s="546"/>
      <c r="D7" s="546"/>
      <c r="E7" s="546"/>
      <c r="F7" s="546"/>
      <c r="G7" s="546"/>
    </row>
    <row r="8" spans="2:4" ht="8.25" customHeight="1">
      <c r="B8" s="100"/>
      <c r="C8" s="383"/>
      <c r="D8" s="101"/>
    </row>
    <row r="9" spans="1:7" s="102" customFormat="1" ht="66" customHeight="1">
      <c r="A9" s="384" t="s">
        <v>107</v>
      </c>
      <c r="B9" s="384" t="s">
        <v>108</v>
      </c>
      <c r="C9" s="384" t="s">
        <v>203</v>
      </c>
      <c r="D9" s="42" t="s">
        <v>109</v>
      </c>
      <c r="E9" s="60" t="s">
        <v>391</v>
      </c>
      <c r="F9" s="385" t="s">
        <v>111</v>
      </c>
      <c r="G9" s="60" t="s">
        <v>392</v>
      </c>
    </row>
    <row r="10" spans="1:7" s="103" customFormat="1" ht="12.75">
      <c r="A10" s="208">
        <v>1</v>
      </c>
      <c r="B10" s="208">
        <v>2</v>
      </c>
      <c r="C10" s="208">
        <v>3</v>
      </c>
      <c r="D10" s="207">
        <v>4</v>
      </c>
      <c r="E10" s="207">
        <v>5</v>
      </c>
      <c r="F10" s="210">
        <v>6</v>
      </c>
      <c r="G10" s="210">
        <v>7</v>
      </c>
    </row>
    <row r="11" spans="1:7" s="62" customFormat="1" ht="12.75">
      <c r="A11" s="104" t="s">
        <v>204</v>
      </c>
      <c r="B11" s="105"/>
      <c r="C11" s="105"/>
      <c r="D11" s="61" t="s">
        <v>205</v>
      </c>
      <c r="E11" s="106">
        <f>E12</f>
        <v>35000</v>
      </c>
      <c r="F11" s="106">
        <f>F12</f>
        <v>35000</v>
      </c>
      <c r="G11" s="67">
        <f>SUM(G15)</f>
        <v>4391</v>
      </c>
    </row>
    <row r="12" spans="1:7" s="62" customFormat="1" ht="25.5">
      <c r="A12" s="104"/>
      <c r="B12" s="386" t="s">
        <v>206</v>
      </c>
      <c r="C12" s="105"/>
      <c r="D12" s="61" t="s">
        <v>207</v>
      </c>
      <c r="E12" s="106">
        <f>SUM(E13)</f>
        <v>35000</v>
      </c>
      <c r="F12" s="72">
        <f>SUM(F13:F14)</f>
        <v>35000</v>
      </c>
      <c r="G12" s="401">
        <v>0</v>
      </c>
    </row>
    <row r="13" spans="1:7" s="62" customFormat="1" ht="60">
      <c r="A13" s="109"/>
      <c r="B13" s="386"/>
      <c r="C13" s="107" t="s">
        <v>208</v>
      </c>
      <c r="D13" s="277" t="s">
        <v>209</v>
      </c>
      <c r="E13" s="108">
        <v>35000</v>
      </c>
      <c r="F13" s="71"/>
      <c r="G13" s="209"/>
    </row>
    <row r="14" spans="1:7" s="62" customFormat="1" ht="12.75">
      <c r="A14" s="109"/>
      <c r="B14" s="382"/>
      <c r="C14" s="387">
        <v>4300</v>
      </c>
      <c r="D14" s="465" t="s">
        <v>395</v>
      </c>
      <c r="E14" s="106"/>
      <c r="F14" s="71">
        <v>35000</v>
      </c>
      <c r="G14" s="209"/>
    </row>
    <row r="15" spans="1:7" s="62" customFormat="1" ht="12.75">
      <c r="A15" s="109"/>
      <c r="B15" s="386" t="s">
        <v>396</v>
      </c>
      <c r="C15" s="105"/>
      <c r="D15" s="61" t="s">
        <v>397</v>
      </c>
      <c r="E15" s="106">
        <f>SUM(E16)</f>
        <v>0</v>
      </c>
      <c r="F15" s="72">
        <f>SUM(F16)</f>
        <v>0</v>
      </c>
      <c r="G15" s="72">
        <f>SUM(G16)</f>
        <v>4391</v>
      </c>
    </row>
    <row r="16" spans="1:7" s="62" customFormat="1" ht="40.5" customHeight="1">
      <c r="A16" s="110"/>
      <c r="B16" s="105"/>
      <c r="C16" s="105" t="s">
        <v>398</v>
      </c>
      <c r="D16" s="277" t="s">
        <v>399</v>
      </c>
      <c r="E16" s="108"/>
      <c r="F16" s="71"/>
      <c r="G16" s="71">
        <v>4391</v>
      </c>
    </row>
    <row r="17" spans="1:7" s="62" customFormat="1" ht="12.75">
      <c r="A17" s="110" t="s">
        <v>211</v>
      </c>
      <c r="B17" s="110"/>
      <c r="C17" s="105"/>
      <c r="D17" s="61" t="s">
        <v>212</v>
      </c>
      <c r="E17" s="106">
        <f>SUM(E18)</f>
        <v>60000</v>
      </c>
      <c r="F17" s="72">
        <f>SUM(F18)</f>
        <v>60000</v>
      </c>
      <c r="G17" s="72">
        <f>SUM(G18)</f>
        <v>869000</v>
      </c>
    </row>
    <row r="18" spans="1:7" s="62" customFormat="1" ht="25.5">
      <c r="A18" s="104"/>
      <c r="B18" s="105" t="s">
        <v>213</v>
      </c>
      <c r="C18" s="105"/>
      <c r="D18" s="61" t="s">
        <v>214</v>
      </c>
      <c r="E18" s="106">
        <f>SUM(E19:E27)</f>
        <v>60000</v>
      </c>
      <c r="F18" s="106">
        <f>SUM(F19:F27)</f>
        <v>60000</v>
      </c>
      <c r="G18" s="67">
        <f>SUM(G19:G27)</f>
        <v>869000</v>
      </c>
    </row>
    <row r="19" spans="1:7" s="62" customFormat="1" ht="60">
      <c r="A19" s="109"/>
      <c r="B19" s="104"/>
      <c r="C19" s="105" t="s">
        <v>208</v>
      </c>
      <c r="D19" s="277" t="s">
        <v>209</v>
      </c>
      <c r="E19" s="111">
        <v>60000</v>
      </c>
      <c r="F19" s="71"/>
      <c r="G19" s="209"/>
    </row>
    <row r="20" spans="1:7" s="62" customFormat="1" ht="12.75">
      <c r="A20" s="109"/>
      <c r="B20" s="109"/>
      <c r="C20" s="105" t="s">
        <v>409</v>
      </c>
      <c r="D20" s="277" t="s">
        <v>410</v>
      </c>
      <c r="E20" s="111"/>
      <c r="F20" s="71">
        <v>5729</v>
      </c>
      <c r="G20" s="209"/>
    </row>
    <row r="21" spans="1:7" s="62" customFormat="1" ht="12.75">
      <c r="A21" s="109"/>
      <c r="B21" s="109"/>
      <c r="C21" s="105" t="s">
        <v>411</v>
      </c>
      <c r="D21" s="277" t="s">
        <v>393</v>
      </c>
      <c r="E21" s="111"/>
      <c r="F21" s="71">
        <v>826</v>
      </c>
      <c r="G21" s="209"/>
    </row>
    <row r="22" spans="1:7" s="62" customFormat="1" ht="12.75">
      <c r="A22" s="109"/>
      <c r="B22" s="109"/>
      <c r="C22" s="105" t="s">
        <v>412</v>
      </c>
      <c r="D22" s="277" t="s">
        <v>394</v>
      </c>
      <c r="E22" s="111"/>
      <c r="F22" s="71">
        <v>33445</v>
      </c>
      <c r="G22" s="209"/>
    </row>
    <row r="23" spans="1:7" s="62" customFormat="1" ht="12.75">
      <c r="A23" s="109"/>
      <c r="B23" s="109"/>
      <c r="C23" s="105" t="s">
        <v>400</v>
      </c>
      <c r="D23" s="277" t="s">
        <v>395</v>
      </c>
      <c r="E23" s="111"/>
      <c r="F23" s="71">
        <v>15524</v>
      </c>
      <c r="G23" s="209"/>
    </row>
    <row r="24" spans="1:7" s="62" customFormat="1" ht="24">
      <c r="A24" s="109"/>
      <c r="B24" s="109"/>
      <c r="C24" s="105" t="s">
        <v>494</v>
      </c>
      <c r="D24" s="70" t="s">
        <v>495</v>
      </c>
      <c r="E24" s="111"/>
      <c r="F24" s="71">
        <v>976</v>
      </c>
      <c r="G24" s="209"/>
    </row>
    <row r="25" spans="1:7" s="62" customFormat="1" ht="12.75">
      <c r="A25" s="109"/>
      <c r="B25" s="109"/>
      <c r="C25" s="105" t="s">
        <v>401</v>
      </c>
      <c r="D25" s="277" t="s">
        <v>402</v>
      </c>
      <c r="E25" s="111"/>
      <c r="F25" s="71">
        <v>500</v>
      </c>
      <c r="G25" s="209"/>
    </row>
    <row r="26" spans="1:7" s="62" customFormat="1" ht="24">
      <c r="A26" s="109"/>
      <c r="B26" s="109"/>
      <c r="C26" s="105" t="s">
        <v>450</v>
      </c>
      <c r="D26" s="70" t="s">
        <v>460</v>
      </c>
      <c r="E26" s="111"/>
      <c r="F26" s="71">
        <v>3000</v>
      </c>
      <c r="G26" s="209"/>
    </row>
    <row r="27" spans="1:7" s="62" customFormat="1" ht="42" customHeight="1">
      <c r="A27" s="109"/>
      <c r="B27" s="110"/>
      <c r="C27" s="105" t="s">
        <v>398</v>
      </c>
      <c r="D27" s="277" t="s">
        <v>399</v>
      </c>
      <c r="E27" s="106"/>
      <c r="F27" s="71"/>
      <c r="G27" s="71">
        <v>869000</v>
      </c>
    </row>
    <row r="28" spans="1:7" s="62" customFormat="1" ht="12.75">
      <c r="A28" s="104" t="s">
        <v>215</v>
      </c>
      <c r="B28" s="105"/>
      <c r="C28" s="105"/>
      <c r="D28" s="61" t="s">
        <v>216</v>
      </c>
      <c r="E28" s="106">
        <f>SUM(E29,E32,E35)</f>
        <v>285253</v>
      </c>
      <c r="F28" s="67">
        <f>SUM(F29,F32,F35)</f>
        <v>285253</v>
      </c>
      <c r="G28" s="67">
        <f>SUM(G29,G32,G35)</f>
        <v>0</v>
      </c>
    </row>
    <row r="29" spans="1:7" s="62" customFormat="1" ht="18" customHeight="1">
      <c r="A29" s="104"/>
      <c r="B29" s="107" t="s">
        <v>217</v>
      </c>
      <c r="C29" s="105"/>
      <c r="D29" s="61" t="s">
        <v>218</v>
      </c>
      <c r="E29" s="106">
        <f>SUM(E30)</f>
        <v>60000</v>
      </c>
      <c r="F29" s="72">
        <f>SUM(F30:F31)</f>
        <v>60000</v>
      </c>
      <c r="G29" s="72">
        <f>SUM(G30:G31)</f>
        <v>0</v>
      </c>
    </row>
    <row r="30" spans="1:7" s="62" customFormat="1" ht="60">
      <c r="A30" s="109"/>
      <c r="B30" s="386"/>
      <c r="C30" s="105" t="s">
        <v>208</v>
      </c>
      <c r="D30" s="277" t="s">
        <v>209</v>
      </c>
      <c r="E30" s="108">
        <v>60000</v>
      </c>
      <c r="F30" s="71"/>
      <c r="G30" s="209"/>
    </row>
    <row r="31" spans="1:7" s="62" customFormat="1" ht="12.75">
      <c r="A31" s="109"/>
      <c r="B31" s="382"/>
      <c r="C31" s="105" t="s">
        <v>400</v>
      </c>
      <c r="D31" s="277" t="s">
        <v>395</v>
      </c>
      <c r="E31" s="106"/>
      <c r="F31" s="71">
        <v>60000</v>
      </c>
      <c r="G31" s="209"/>
    </row>
    <row r="32" spans="1:7" s="62" customFormat="1" ht="25.5">
      <c r="A32" s="109"/>
      <c r="B32" s="386" t="s">
        <v>219</v>
      </c>
      <c r="C32" s="105"/>
      <c r="D32" s="61" t="s">
        <v>220</v>
      </c>
      <c r="E32" s="106">
        <f>SUM(E33)</f>
        <v>9000</v>
      </c>
      <c r="F32" s="72">
        <f>SUM(F33:F34)</f>
        <v>9000</v>
      </c>
      <c r="G32" s="72">
        <f>SUM(G33:G34)</f>
        <v>0</v>
      </c>
    </row>
    <row r="33" spans="1:7" s="62" customFormat="1" ht="60">
      <c r="A33" s="389"/>
      <c r="B33" s="104"/>
      <c r="C33" s="107" t="s">
        <v>208</v>
      </c>
      <c r="D33" s="277" t="s">
        <v>209</v>
      </c>
      <c r="E33" s="111">
        <v>9000</v>
      </c>
      <c r="F33" s="71"/>
      <c r="G33" s="209"/>
    </row>
    <row r="34" spans="1:7" s="62" customFormat="1" ht="12.75">
      <c r="A34" s="389"/>
      <c r="B34" s="110"/>
      <c r="C34" s="382" t="s">
        <v>400</v>
      </c>
      <c r="D34" s="441" t="s">
        <v>395</v>
      </c>
      <c r="E34" s="394"/>
      <c r="F34" s="392">
        <v>9000</v>
      </c>
      <c r="G34" s="400"/>
    </row>
    <row r="35" spans="1:7" s="62" customFormat="1" ht="12.75">
      <c r="A35" s="110"/>
      <c r="B35" s="382" t="s">
        <v>221</v>
      </c>
      <c r="C35" s="105"/>
      <c r="D35" s="61" t="s">
        <v>222</v>
      </c>
      <c r="E35" s="106">
        <f>SUM(E36:E50)</f>
        <v>216253</v>
      </c>
      <c r="F35" s="106">
        <f>SUM(F37:F53)</f>
        <v>216253</v>
      </c>
      <c r="G35" s="67">
        <f>SUM(G36:G50)</f>
        <v>0</v>
      </c>
    </row>
    <row r="36" spans="1:7" s="62" customFormat="1" ht="60">
      <c r="A36" s="494" t="s">
        <v>215</v>
      </c>
      <c r="B36" s="105" t="s">
        <v>221</v>
      </c>
      <c r="C36" s="107" t="s">
        <v>208</v>
      </c>
      <c r="D36" s="277" t="s">
        <v>209</v>
      </c>
      <c r="E36" s="111">
        <v>216253</v>
      </c>
      <c r="F36" s="71"/>
      <c r="G36" s="209"/>
    </row>
    <row r="37" spans="1:7" s="62" customFormat="1" ht="12.75" customHeight="1">
      <c r="A37" s="389"/>
      <c r="B37" s="109"/>
      <c r="C37" s="382" t="s">
        <v>403</v>
      </c>
      <c r="D37" s="441" t="s">
        <v>404</v>
      </c>
      <c r="E37" s="394"/>
      <c r="F37" s="392">
        <v>28300</v>
      </c>
      <c r="G37" s="400"/>
    </row>
    <row r="38" spans="1:7" s="62" customFormat="1" ht="24">
      <c r="A38" s="389"/>
      <c r="B38" s="109"/>
      <c r="C38" s="107" t="s">
        <v>405</v>
      </c>
      <c r="D38" s="277" t="s">
        <v>406</v>
      </c>
      <c r="E38" s="111"/>
      <c r="F38" s="71">
        <v>96400</v>
      </c>
      <c r="G38" s="209"/>
    </row>
    <row r="39" spans="1:7" s="62" customFormat="1" ht="12.75">
      <c r="A39" s="390"/>
      <c r="B39" s="391"/>
      <c r="C39" s="107" t="s">
        <v>407</v>
      </c>
      <c r="D39" s="277" t="s">
        <v>408</v>
      </c>
      <c r="E39" s="111"/>
      <c r="F39" s="71">
        <v>9900</v>
      </c>
      <c r="G39" s="209"/>
    </row>
    <row r="40" spans="1:7" s="62" customFormat="1" ht="12.75">
      <c r="A40" s="389"/>
      <c r="B40" s="109"/>
      <c r="C40" s="107" t="s">
        <v>409</v>
      </c>
      <c r="D40" s="277" t="s">
        <v>410</v>
      </c>
      <c r="E40" s="111"/>
      <c r="F40" s="71">
        <v>25200</v>
      </c>
      <c r="G40" s="209"/>
    </row>
    <row r="41" spans="1:7" s="62" customFormat="1" ht="12.75">
      <c r="A41" s="389"/>
      <c r="B41" s="109"/>
      <c r="C41" s="107" t="s">
        <v>411</v>
      </c>
      <c r="D41" s="277" t="s">
        <v>393</v>
      </c>
      <c r="E41" s="111"/>
      <c r="F41" s="71">
        <v>3500</v>
      </c>
      <c r="G41" s="209"/>
    </row>
    <row r="42" spans="1:7" s="62" customFormat="1" ht="12.75">
      <c r="A42" s="389"/>
      <c r="B42" s="109"/>
      <c r="C42" s="107" t="s">
        <v>412</v>
      </c>
      <c r="D42" s="277" t="s">
        <v>394</v>
      </c>
      <c r="E42" s="111"/>
      <c r="F42" s="71">
        <v>3000</v>
      </c>
      <c r="G42" s="209"/>
    </row>
    <row r="43" spans="1:7" s="62" customFormat="1" ht="12.75">
      <c r="A43" s="390"/>
      <c r="B43" s="391"/>
      <c r="C43" s="107" t="s">
        <v>413</v>
      </c>
      <c r="D43" s="277" t="s">
        <v>414</v>
      </c>
      <c r="E43" s="111"/>
      <c r="F43" s="71">
        <v>10813</v>
      </c>
      <c r="G43" s="209"/>
    </row>
    <row r="44" spans="1:7" s="62" customFormat="1" ht="12.75">
      <c r="A44" s="390"/>
      <c r="B44" s="391"/>
      <c r="C44" s="107" t="s">
        <v>417</v>
      </c>
      <c r="D44" s="277" t="s">
        <v>418</v>
      </c>
      <c r="E44" s="111"/>
      <c r="F44" s="71">
        <v>3000</v>
      </c>
      <c r="G44" s="209"/>
    </row>
    <row r="45" spans="1:7" s="62" customFormat="1" ht="12.75">
      <c r="A45" s="390"/>
      <c r="B45" s="391"/>
      <c r="C45" s="107" t="s">
        <v>436</v>
      </c>
      <c r="D45" s="277" t="s">
        <v>437</v>
      </c>
      <c r="E45" s="111"/>
      <c r="F45" s="71">
        <v>105</v>
      </c>
      <c r="G45" s="209"/>
    </row>
    <row r="46" spans="1:7" s="62" customFormat="1" ht="12.75">
      <c r="A46" s="389"/>
      <c r="B46" s="109"/>
      <c r="C46" s="107" t="s">
        <v>400</v>
      </c>
      <c r="D46" s="277" t="s">
        <v>395</v>
      </c>
      <c r="E46" s="111"/>
      <c r="F46" s="71">
        <v>18094</v>
      </c>
      <c r="G46" s="209"/>
    </row>
    <row r="47" spans="1:7" s="62" customFormat="1" ht="25.5" customHeight="1">
      <c r="A47" s="389"/>
      <c r="B47" s="109"/>
      <c r="C47" s="107" t="s">
        <v>451</v>
      </c>
      <c r="D47" s="277" t="s">
        <v>456</v>
      </c>
      <c r="E47" s="111"/>
      <c r="F47" s="71">
        <v>7500</v>
      </c>
      <c r="G47" s="209"/>
    </row>
    <row r="48" spans="1:7" s="62" customFormat="1" ht="12.75">
      <c r="A48" s="389"/>
      <c r="B48" s="109"/>
      <c r="C48" s="107" t="s">
        <v>419</v>
      </c>
      <c r="D48" s="277" t="s">
        <v>420</v>
      </c>
      <c r="E48" s="111"/>
      <c r="F48" s="71">
        <v>500</v>
      </c>
      <c r="G48" s="209"/>
    </row>
    <row r="49" spans="1:7" s="62" customFormat="1" ht="12.75">
      <c r="A49" s="389"/>
      <c r="B49" s="109"/>
      <c r="C49" s="107" t="s">
        <v>401</v>
      </c>
      <c r="D49" s="277" t="s">
        <v>421</v>
      </c>
      <c r="E49" s="111"/>
      <c r="F49" s="71">
        <v>3181</v>
      </c>
      <c r="G49" s="209"/>
    </row>
    <row r="50" spans="1:7" s="62" customFormat="1" ht="24">
      <c r="A50" s="389"/>
      <c r="B50" s="109"/>
      <c r="C50" s="107" t="s">
        <v>422</v>
      </c>
      <c r="D50" s="277" t="s">
        <v>423</v>
      </c>
      <c r="E50" s="111"/>
      <c r="F50" s="71">
        <v>3600</v>
      </c>
      <c r="G50" s="209"/>
    </row>
    <row r="51" spans="1:7" s="62" customFormat="1" ht="24">
      <c r="A51" s="389"/>
      <c r="B51" s="109"/>
      <c r="C51" s="107" t="s">
        <v>482</v>
      </c>
      <c r="D51" s="277" t="s">
        <v>483</v>
      </c>
      <c r="E51" s="111"/>
      <c r="F51" s="71">
        <v>160</v>
      </c>
      <c r="G51" s="209"/>
    </row>
    <row r="52" spans="1:7" s="62" customFormat="1" ht="25.5" customHeight="1">
      <c r="A52" s="389"/>
      <c r="B52" s="109"/>
      <c r="C52" s="107" t="s">
        <v>453</v>
      </c>
      <c r="D52" s="277" t="s">
        <v>458</v>
      </c>
      <c r="E52" s="111"/>
      <c r="F52" s="71">
        <v>1000</v>
      </c>
      <c r="G52" s="209"/>
    </row>
    <row r="53" spans="1:7" s="62" customFormat="1" ht="24">
      <c r="A53" s="389"/>
      <c r="B53" s="109"/>
      <c r="C53" s="107" t="s">
        <v>450</v>
      </c>
      <c r="D53" s="277" t="s">
        <v>460</v>
      </c>
      <c r="E53" s="111"/>
      <c r="F53" s="71">
        <v>2000</v>
      </c>
      <c r="G53" s="209"/>
    </row>
    <row r="54" spans="1:7" s="62" customFormat="1" ht="12.75">
      <c r="A54" s="104" t="s">
        <v>223</v>
      </c>
      <c r="B54" s="105"/>
      <c r="C54" s="105"/>
      <c r="D54" s="61" t="s">
        <v>224</v>
      </c>
      <c r="E54" s="106">
        <f>SUM(E55,E59)</f>
        <v>232542</v>
      </c>
      <c r="F54" s="67">
        <f>SUM(F55,F59)</f>
        <v>232542</v>
      </c>
      <c r="G54" s="67">
        <f>SUM(G55,G59)</f>
        <v>0</v>
      </c>
    </row>
    <row r="55" spans="1:7" s="62" customFormat="1" ht="12.75">
      <c r="A55" s="104"/>
      <c r="B55" s="107" t="s">
        <v>225</v>
      </c>
      <c r="C55" s="105"/>
      <c r="D55" s="61" t="s">
        <v>226</v>
      </c>
      <c r="E55" s="106">
        <f>SUM(E56)</f>
        <v>204542</v>
      </c>
      <c r="F55" s="72">
        <f>SUM(F57:F58)</f>
        <v>204542</v>
      </c>
      <c r="G55" s="72">
        <f>SUM(G57:G58)</f>
        <v>0</v>
      </c>
    </row>
    <row r="56" spans="1:7" s="62" customFormat="1" ht="60">
      <c r="A56" s="109"/>
      <c r="B56" s="386"/>
      <c r="C56" s="105" t="s">
        <v>208</v>
      </c>
      <c r="D56" s="277" t="s">
        <v>209</v>
      </c>
      <c r="E56" s="108">
        <v>204542</v>
      </c>
      <c r="F56" s="71"/>
      <c r="G56" s="209"/>
    </row>
    <row r="57" spans="1:7" s="62" customFormat="1" ht="13.5" customHeight="1">
      <c r="A57" s="109"/>
      <c r="B57" s="381"/>
      <c r="C57" s="105" t="s">
        <v>403</v>
      </c>
      <c r="D57" s="277" t="s">
        <v>404</v>
      </c>
      <c r="E57" s="106"/>
      <c r="F57" s="71">
        <v>179867</v>
      </c>
      <c r="G57" s="209"/>
    </row>
    <row r="58" spans="1:7" s="62" customFormat="1" ht="12.75">
      <c r="A58" s="109"/>
      <c r="B58" s="381"/>
      <c r="C58" s="105" t="s">
        <v>409</v>
      </c>
      <c r="D58" s="277" t="s">
        <v>410</v>
      </c>
      <c r="E58" s="106"/>
      <c r="F58" s="71">
        <v>24675</v>
      </c>
      <c r="G58" s="209"/>
    </row>
    <row r="59" spans="1:7" s="62" customFormat="1" ht="12.75">
      <c r="A59" s="109"/>
      <c r="B59" s="386" t="s">
        <v>227</v>
      </c>
      <c r="C59" s="105"/>
      <c r="D59" s="61" t="s">
        <v>228</v>
      </c>
      <c r="E59" s="106">
        <f>SUM(E60)</f>
        <v>28000</v>
      </c>
      <c r="F59" s="72">
        <f>SUM(F61:F68)</f>
        <v>28000</v>
      </c>
      <c r="G59" s="72">
        <f>SUM(G60:G65)</f>
        <v>0</v>
      </c>
    </row>
    <row r="60" spans="1:7" s="62" customFormat="1" ht="60">
      <c r="A60" s="389"/>
      <c r="B60" s="104"/>
      <c r="C60" s="107" t="s">
        <v>208</v>
      </c>
      <c r="D60" s="277" t="s">
        <v>209</v>
      </c>
      <c r="E60" s="111">
        <v>28000</v>
      </c>
      <c r="F60" s="71"/>
      <c r="G60" s="209"/>
    </row>
    <row r="61" spans="1:7" s="62" customFormat="1" ht="12.75">
      <c r="A61" s="389"/>
      <c r="B61" s="109"/>
      <c r="C61" s="107" t="s">
        <v>409</v>
      </c>
      <c r="D61" s="277" t="s">
        <v>410</v>
      </c>
      <c r="E61" s="111"/>
      <c r="F61" s="71">
        <v>1495</v>
      </c>
      <c r="G61" s="209"/>
    </row>
    <row r="62" spans="1:7" s="62" customFormat="1" ht="12.75">
      <c r="A62" s="389"/>
      <c r="B62" s="109"/>
      <c r="C62" s="107" t="s">
        <v>411</v>
      </c>
      <c r="D62" s="277" t="s">
        <v>393</v>
      </c>
      <c r="E62" s="111"/>
      <c r="F62" s="71">
        <v>47</v>
      </c>
      <c r="G62" s="209"/>
    </row>
    <row r="63" spans="1:7" s="62" customFormat="1" ht="12.75">
      <c r="A63" s="389"/>
      <c r="B63" s="109"/>
      <c r="C63" s="107" t="s">
        <v>412</v>
      </c>
      <c r="D63" s="70" t="s">
        <v>394</v>
      </c>
      <c r="E63" s="111"/>
      <c r="F63" s="71">
        <v>11150</v>
      </c>
      <c r="G63" s="209"/>
    </row>
    <row r="64" spans="1:7" s="62" customFormat="1" ht="12.75">
      <c r="A64" s="389"/>
      <c r="B64" s="109"/>
      <c r="C64" s="107" t="s">
        <v>413</v>
      </c>
      <c r="D64" s="277" t="s">
        <v>414</v>
      </c>
      <c r="E64" s="111"/>
      <c r="F64" s="71">
        <v>4905</v>
      </c>
      <c r="G64" s="209"/>
    </row>
    <row r="65" spans="1:7" s="62" customFormat="1" ht="12.75">
      <c r="A65" s="389"/>
      <c r="B65" s="109"/>
      <c r="C65" s="382" t="s">
        <v>400</v>
      </c>
      <c r="D65" s="277" t="s">
        <v>395</v>
      </c>
      <c r="E65" s="111"/>
      <c r="F65" s="71">
        <v>6032</v>
      </c>
      <c r="G65" s="209"/>
    </row>
    <row r="66" spans="1:7" s="62" customFormat="1" ht="25.5" customHeight="1">
      <c r="A66" s="389"/>
      <c r="B66" s="109"/>
      <c r="C66" s="107" t="s">
        <v>451</v>
      </c>
      <c r="D66" s="466" t="s">
        <v>456</v>
      </c>
      <c r="E66" s="111"/>
      <c r="F66" s="71">
        <v>82</v>
      </c>
      <c r="G66" s="209"/>
    </row>
    <row r="67" spans="1:7" s="62" customFormat="1" ht="24">
      <c r="A67" s="389"/>
      <c r="B67" s="109"/>
      <c r="C67" s="107" t="s">
        <v>452</v>
      </c>
      <c r="D67" s="467" t="s">
        <v>457</v>
      </c>
      <c r="E67" s="111"/>
      <c r="F67" s="71">
        <v>4112</v>
      </c>
      <c r="G67" s="209"/>
    </row>
    <row r="68" spans="1:7" s="62" customFormat="1" ht="25.5" customHeight="1">
      <c r="A68" s="393"/>
      <c r="B68" s="110"/>
      <c r="C68" s="107" t="s">
        <v>453</v>
      </c>
      <c r="D68" s="467" t="s">
        <v>458</v>
      </c>
      <c r="E68" s="106"/>
      <c r="F68" s="71">
        <v>177</v>
      </c>
      <c r="G68" s="209"/>
    </row>
    <row r="69" spans="1:7" s="62" customFormat="1" ht="27.75" customHeight="1">
      <c r="A69" s="104" t="s">
        <v>229</v>
      </c>
      <c r="B69" s="104"/>
      <c r="C69" s="105"/>
      <c r="D69" s="61" t="s">
        <v>230</v>
      </c>
      <c r="E69" s="106">
        <f>SUM(E70,E100)</f>
        <v>2476705</v>
      </c>
      <c r="F69" s="106">
        <f>SUM(F70,F100)</f>
        <v>2476705</v>
      </c>
      <c r="G69" s="67">
        <f>G70</f>
        <v>5000</v>
      </c>
    </row>
    <row r="70" spans="1:7" s="62" customFormat="1" ht="27.75" customHeight="1">
      <c r="A70" s="105"/>
      <c r="B70" s="107" t="s">
        <v>231</v>
      </c>
      <c r="C70" s="107"/>
      <c r="D70" s="61" t="s">
        <v>232</v>
      </c>
      <c r="E70" s="106">
        <f>SUM(E71:E71)</f>
        <v>2473705</v>
      </c>
      <c r="F70" s="67">
        <f>SUM(F72:F99)</f>
        <v>2473705</v>
      </c>
      <c r="G70" s="72">
        <f>SUM(G71:G99)</f>
        <v>5000</v>
      </c>
    </row>
    <row r="71" spans="1:7" s="62" customFormat="1" ht="60">
      <c r="A71" s="105" t="s">
        <v>229</v>
      </c>
      <c r="B71" s="107" t="s">
        <v>231</v>
      </c>
      <c r="C71" s="107" t="s">
        <v>208</v>
      </c>
      <c r="D71" s="277" t="s">
        <v>209</v>
      </c>
      <c r="E71" s="71">
        <f>2240000+35000+148815+49890</f>
        <v>2473705</v>
      </c>
      <c r="F71" s="71"/>
      <c r="G71" s="402"/>
    </row>
    <row r="72" spans="1:7" s="62" customFormat="1" ht="36">
      <c r="A72" s="109"/>
      <c r="B72" s="381"/>
      <c r="C72" s="382" t="s">
        <v>424</v>
      </c>
      <c r="D72" s="441" t="s">
        <v>425</v>
      </c>
      <c r="E72" s="394"/>
      <c r="F72" s="392">
        <v>126000</v>
      </c>
      <c r="G72" s="404"/>
    </row>
    <row r="73" spans="1:7" s="62" customFormat="1" ht="15.75" customHeight="1">
      <c r="A73" s="109"/>
      <c r="B73" s="381"/>
      <c r="C73" s="107" t="s">
        <v>403</v>
      </c>
      <c r="D73" s="277" t="s">
        <v>404</v>
      </c>
      <c r="E73" s="111"/>
      <c r="F73" s="71">
        <v>13000</v>
      </c>
      <c r="G73" s="402"/>
    </row>
    <row r="74" spans="1:7" s="62" customFormat="1" ht="12.75">
      <c r="A74" s="109"/>
      <c r="B74" s="381"/>
      <c r="C74" s="107" t="s">
        <v>407</v>
      </c>
      <c r="D74" s="277" t="s">
        <v>408</v>
      </c>
      <c r="E74" s="111"/>
      <c r="F74" s="71">
        <v>1359</v>
      </c>
      <c r="G74" s="402"/>
    </row>
    <row r="75" spans="1:7" s="62" customFormat="1" ht="23.25" customHeight="1">
      <c r="A75" s="109"/>
      <c r="B75" s="381"/>
      <c r="C75" s="107" t="s">
        <v>426</v>
      </c>
      <c r="D75" s="277" t="s">
        <v>427</v>
      </c>
      <c r="E75" s="111"/>
      <c r="F75" s="71">
        <v>1498445</v>
      </c>
      <c r="G75" s="402"/>
    </row>
    <row r="76" spans="1:7" s="62" customFormat="1" ht="28.5" customHeight="1">
      <c r="A76" s="109"/>
      <c r="B76" s="381"/>
      <c r="C76" s="107" t="s">
        <v>428</v>
      </c>
      <c r="D76" s="277" t="s">
        <v>429</v>
      </c>
      <c r="E76" s="111"/>
      <c r="F76" s="71">
        <v>165804</v>
      </c>
      <c r="G76" s="402"/>
    </row>
    <row r="77" spans="1:7" s="62" customFormat="1" ht="28.5" customHeight="1">
      <c r="A77" s="109"/>
      <c r="B77" s="381"/>
      <c r="C77" s="107" t="s">
        <v>430</v>
      </c>
      <c r="D77" s="277" t="s">
        <v>431</v>
      </c>
      <c r="E77" s="111"/>
      <c r="F77" s="71">
        <v>117987</v>
      </c>
      <c r="G77" s="402"/>
    </row>
    <row r="78" spans="1:7" s="62" customFormat="1" ht="36" customHeight="1">
      <c r="A78" s="109"/>
      <c r="B78" s="381"/>
      <c r="C78" s="107" t="s">
        <v>454</v>
      </c>
      <c r="D78" s="70" t="s">
        <v>461</v>
      </c>
      <c r="E78" s="111"/>
      <c r="F78" s="71">
        <v>139946</v>
      </c>
      <c r="G78" s="402"/>
    </row>
    <row r="79" spans="1:7" s="62" customFormat="1" ht="12.75">
      <c r="A79" s="109"/>
      <c r="B79" s="381"/>
      <c r="C79" s="107" t="s">
        <v>409</v>
      </c>
      <c r="D79" s="277" t="s">
        <v>410</v>
      </c>
      <c r="E79" s="111"/>
      <c r="F79" s="71">
        <v>3500</v>
      </c>
      <c r="G79" s="402"/>
    </row>
    <row r="80" spans="1:7" s="62" customFormat="1" ht="12.75">
      <c r="A80" s="109"/>
      <c r="B80" s="381"/>
      <c r="C80" s="107" t="s">
        <v>411</v>
      </c>
      <c r="D80" s="277" t="s">
        <v>393</v>
      </c>
      <c r="E80" s="111"/>
      <c r="F80" s="71">
        <v>500</v>
      </c>
      <c r="G80" s="402"/>
    </row>
    <row r="81" spans="1:7" s="62" customFormat="1" ht="12.75">
      <c r="A81" s="109"/>
      <c r="B81" s="381"/>
      <c r="C81" s="107" t="s">
        <v>412</v>
      </c>
      <c r="D81" s="70" t="s">
        <v>394</v>
      </c>
      <c r="E81" s="111"/>
      <c r="F81" s="71">
        <v>3060</v>
      </c>
      <c r="G81" s="402"/>
    </row>
    <row r="82" spans="1:7" s="62" customFormat="1" ht="22.5" customHeight="1">
      <c r="A82" s="109"/>
      <c r="B82" s="381"/>
      <c r="C82" s="107" t="s">
        <v>432</v>
      </c>
      <c r="D82" s="277" t="s">
        <v>433</v>
      </c>
      <c r="E82" s="111"/>
      <c r="F82" s="71">
        <v>86260</v>
      </c>
      <c r="G82" s="402"/>
    </row>
    <row r="83" spans="1:7" s="62" customFormat="1" ht="15.75" customHeight="1">
      <c r="A83" s="109"/>
      <c r="B83" s="381"/>
      <c r="C83" s="107" t="s">
        <v>413</v>
      </c>
      <c r="D83" s="277" t="s">
        <v>414</v>
      </c>
      <c r="E83" s="111"/>
      <c r="F83" s="71">
        <v>154014</v>
      </c>
      <c r="G83" s="402"/>
    </row>
    <row r="84" spans="1:7" s="62" customFormat="1" ht="15.75" customHeight="1">
      <c r="A84" s="391"/>
      <c r="B84" s="468"/>
      <c r="C84" s="107" t="s">
        <v>434</v>
      </c>
      <c r="D84" s="277" t="s">
        <v>435</v>
      </c>
      <c r="E84" s="111"/>
      <c r="F84" s="71">
        <v>1000</v>
      </c>
      <c r="G84" s="402"/>
    </row>
    <row r="85" spans="1:7" s="62" customFormat="1" ht="15.75" customHeight="1">
      <c r="A85" s="109"/>
      <c r="B85" s="381"/>
      <c r="C85" s="107" t="s">
        <v>415</v>
      </c>
      <c r="D85" s="277" t="s">
        <v>416</v>
      </c>
      <c r="E85" s="111"/>
      <c r="F85" s="71">
        <v>50000</v>
      </c>
      <c r="G85" s="402"/>
    </row>
    <row r="86" spans="1:7" s="62" customFormat="1" ht="15.75" customHeight="1">
      <c r="A86" s="109"/>
      <c r="B86" s="381"/>
      <c r="C86" s="107" t="s">
        <v>417</v>
      </c>
      <c r="D86" s="277" t="s">
        <v>418</v>
      </c>
      <c r="E86" s="111"/>
      <c r="F86" s="71">
        <v>28025</v>
      </c>
      <c r="G86" s="402"/>
    </row>
    <row r="87" spans="1:7" s="62" customFormat="1" ht="15.75" customHeight="1">
      <c r="A87" s="109"/>
      <c r="B87" s="381"/>
      <c r="C87" s="107" t="s">
        <v>436</v>
      </c>
      <c r="D87" s="277" t="s">
        <v>437</v>
      </c>
      <c r="E87" s="111"/>
      <c r="F87" s="71">
        <v>14987</v>
      </c>
      <c r="G87" s="402"/>
    </row>
    <row r="88" spans="1:7" s="62" customFormat="1" ht="15.75" customHeight="1">
      <c r="A88" s="109"/>
      <c r="B88" s="381"/>
      <c r="C88" s="107" t="s">
        <v>400</v>
      </c>
      <c r="D88" s="277" t="s">
        <v>395</v>
      </c>
      <c r="E88" s="111"/>
      <c r="F88" s="71">
        <v>35000</v>
      </c>
      <c r="G88" s="402"/>
    </row>
    <row r="89" spans="1:7" s="62" customFormat="1" ht="15.75" customHeight="1">
      <c r="A89" s="109"/>
      <c r="B89" s="381"/>
      <c r="C89" s="107" t="s">
        <v>447</v>
      </c>
      <c r="D89" s="467" t="s">
        <v>448</v>
      </c>
      <c r="E89" s="111"/>
      <c r="F89" s="71">
        <v>5000</v>
      </c>
      <c r="G89" s="402"/>
    </row>
    <row r="90" spans="1:7" s="62" customFormat="1" ht="24.75" customHeight="1">
      <c r="A90" s="109"/>
      <c r="B90" s="381"/>
      <c r="C90" s="107" t="s">
        <v>455</v>
      </c>
      <c r="D90" s="467" t="s">
        <v>459</v>
      </c>
      <c r="E90" s="111"/>
      <c r="F90" s="71">
        <v>7000</v>
      </c>
      <c r="G90" s="402"/>
    </row>
    <row r="91" spans="1:7" s="62" customFormat="1" ht="25.5" customHeight="1">
      <c r="A91" s="109"/>
      <c r="B91" s="381"/>
      <c r="C91" s="107" t="s">
        <v>451</v>
      </c>
      <c r="D91" s="467" t="s">
        <v>456</v>
      </c>
      <c r="E91" s="111"/>
      <c r="F91" s="71">
        <v>7000</v>
      </c>
      <c r="G91" s="402"/>
    </row>
    <row r="92" spans="1:7" s="62" customFormat="1" ht="15" customHeight="1">
      <c r="A92" s="109"/>
      <c r="B92" s="381"/>
      <c r="C92" s="107" t="s">
        <v>419</v>
      </c>
      <c r="D92" s="277" t="s">
        <v>420</v>
      </c>
      <c r="E92" s="111"/>
      <c r="F92" s="71">
        <v>4000</v>
      </c>
      <c r="G92" s="402"/>
    </row>
    <row r="93" spans="1:7" s="62" customFormat="1" ht="15" customHeight="1">
      <c r="A93" s="391"/>
      <c r="B93" s="468"/>
      <c r="C93" s="107" t="s">
        <v>401</v>
      </c>
      <c r="D93" s="277" t="s">
        <v>402</v>
      </c>
      <c r="E93" s="111"/>
      <c r="F93" s="71">
        <v>1000</v>
      </c>
      <c r="G93" s="402"/>
    </row>
    <row r="94" spans="1:7" s="62" customFormat="1" ht="24">
      <c r="A94" s="109"/>
      <c r="B94" s="381"/>
      <c r="C94" s="107" t="s">
        <v>422</v>
      </c>
      <c r="D94" s="277" t="s">
        <v>423</v>
      </c>
      <c r="E94" s="111"/>
      <c r="F94" s="71">
        <v>805</v>
      </c>
      <c r="G94" s="402"/>
    </row>
    <row r="95" spans="1:7" s="62" customFormat="1" ht="27.75" customHeight="1">
      <c r="A95" s="109"/>
      <c r="B95" s="381"/>
      <c r="C95" s="107" t="s">
        <v>438</v>
      </c>
      <c r="D95" s="277" t="s">
        <v>439</v>
      </c>
      <c r="E95" s="111"/>
      <c r="F95" s="71">
        <v>4707</v>
      </c>
      <c r="G95" s="402"/>
    </row>
    <row r="96" spans="1:7" s="62" customFormat="1" ht="12.75">
      <c r="A96" s="109"/>
      <c r="B96" s="381"/>
      <c r="C96" s="107" t="s">
        <v>440</v>
      </c>
      <c r="D96" s="277" t="s">
        <v>441</v>
      </c>
      <c r="E96" s="111"/>
      <c r="F96" s="71">
        <v>225</v>
      </c>
      <c r="G96" s="402"/>
    </row>
    <row r="97" spans="1:7" s="62" customFormat="1" ht="26.25" customHeight="1">
      <c r="A97" s="109"/>
      <c r="B97" s="381"/>
      <c r="C97" s="382" t="s">
        <v>453</v>
      </c>
      <c r="D97" s="467" t="s">
        <v>458</v>
      </c>
      <c r="E97" s="111"/>
      <c r="F97" s="71">
        <v>1079</v>
      </c>
      <c r="G97" s="402"/>
    </row>
    <row r="98" spans="1:7" s="62" customFormat="1" ht="26.25" customHeight="1">
      <c r="A98" s="109"/>
      <c r="B98" s="381"/>
      <c r="C98" s="107" t="s">
        <v>450</v>
      </c>
      <c r="D98" s="70" t="s">
        <v>460</v>
      </c>
      <c r="E98" s="111"/>
      <c r="F98" s="71">
        <v>4002</v>
      </c>
      <c r="G98" s="402"/>
    </row>
    <row r="99" spans="1:7" s="62" customFormat="1" ht="41.25" customHeight="1">
      <c r="A99" s="110"/>
      <c r="B99" s="382"/>
      <c r="C99" s="107" t="s">
        <v>398</v>
      </c>
      <c r="D99" s="277" t="s">
        <v>399</v>
      </c>
      <c r="E99" s="111"/>
      <c r="F99" s="71"/>
      <c r="G99" s="71">
        <v>5000</v>
      </c>
    </row>
    <row r="100" spans="1:7" s="62" customFormat="1" ht="12.75">
      <c r="A100" s="104" t="s">
        <v>229</v>
      </c>
      <c r="B100" s="386" t="s">
        <v>233</v>
      </c>
      <c r="C100" s="105"/>
      <c r="D100" s="397" t="s">
        <v>234</v>
      </c>
      <c r="E100" s="106">
        <f>SUM(E101:E101)</f>
        <v>3000</v>
      </c>
      <c r="F100" s="72">
        <f>SUM(F102:F105)</f>
        <v>3000</v>
      </c>
      <c r="G100" s="72">
        <f>SUM(G102:G102)</f>
        <v>0</v>
      </c>
    </row>
    <row r="101" spans="1:7" s="62" customFormat="1" ht="45.75" customHeight="1">
      <c r="A101" s="388"/>
      <c r="B101" s="104"/>
      <c r="C101" s="382" t="s">
        <v>208</v>
      </c>
      <c r="D101" s="482" t="s">
        <v>209</v>
      </c>
      <c r="E101" s="394">
        <v>3000</v>
      </c>
      <c r="F101" s="392"/>
      <c r="G101" s="400"/>
    </row>
    <row r="102" spans="1:7" s="62" customFormat="1" ht="12.75">
      <c r="A102" s="389"/>
      <c r="B102" s="109"/>
      <c r="C102" s="107" t="s">
        <v>413</v>
      </c>
      <c r="D102" s="277" t="s">
        <v>414</v>
      </c>
      <c r="E102" s="111"/>
      <c r="F102" s="71">
        <v>819</v>
      </c>
      <c r="G102" s="209"/>
    </row>
    <row r="103" spans="1:7" s="62" customFormat="1" ht="12.75">
      <c r="A103" s="393"/>
      <c r="B103" s="110"/>
      <c r="C103" s="107" t="s">
        <v>400</v>
      </c>
      <c r="D103" s="277" t="s">
        <v>395</v>
      </c>
      <c r="E103" s="111"/>
      <c r="F103" s="71">
        <v>1834</v>
      </c>
      <c r="G103" s="209"/>
    </row>
    <row r="104" spans="1:7" s="62" customFormat="1" ht="27.75" customHeight="1">
      <c r="A104" s="494" t="s">
        <v>229</v>
      </c>
      <c r="B104" s="105" t="s">
        <v>233</v>
      </c>
      <c r="C104" s="107" t="s">
        <v>453</v>
      </c>
      <c r="D104" s="467" t="s">
        <v>458</v>
      </c>
      <c r="E104" s="111"/>
      <c r="F104" s="71">
        <v>100</v>
      </c>
      <c r="G104" s="209"/>
    </row>
    <row r="105" spans="1:7" s="62" customFormat="1" ht="24">
      <c r="A105" s="393"/>
      <c r="B105" s="110"/>
      <c r="C105" s="382" t="s">
        <v>450</v>
      </c>
      <c r="D105" s="150" t="s">
        <v>460</v>
      </c>
      <c r="E105" s="394"/>
      <c r="F105" s="392">
        <v>247</v>
      </c>
      <c r="G105" s="400"/>
    </row>
    <row r="106" spans="1:7" s="62" customFormat="1" ht="15.75" customHeight="1">
      <c r="A106" s="109" t="s">
        <v>235</v>
      </c>
      <c r="B106" s="110"/>
      <c r="C106" s="105"/>
      <c r="D106" s="61" t="s">
        <v>236</v>
      </c>
      <c r="E106" s="106">
        <f>SUM(E107,E110)</f>
        <v>1395056</v>
      </c>
      <c r="F106" s="106">
        <f>SUM(F107,F110)</f>
        <v>1395056</v>
      </c>
      <c r="G106" s="67">
        <f>G110</f>
        <v>0</v>
      </c>
    </row>
    <row r="107" spans="1:7" s="62" customFormat="1" ht="15.75" customHeight="1">
      <c r="A107" s="104"/>
      <c r="B107" s="381" t="s">
        <v>23</v>
      </c>
      <c r="C107" s="110"/>
      <c r="D107" s="189" t="s">
        <v>348</v>
      </c>
      <c r="E107" s="300">
        <f>SUM(E108:E108)</f>
        <v>500562</v>
      </c>
      <c r="F107" s="405">
        <f>SUM(F109:F109)</f>
        <v>500562</v>
      </c>
      <c r="G107" s="405">
        <f>SUM(G109:G109)</f>
        <v>0</v>
      </c>
    </row>
    <row r="108" spans="1:7" s="62" customFormat="1" ht="45" customHeight="1">
      <c r="A108" s="109"/>
      <c r="B108" s="386"/>
      <c r="C108" s="382" t="s">
        <v>502</v>
      </c>
      <c r="D108" s="483" t="s">
        <v>504</v>
      </c>
      <c r="E108" s="394">
        <v>500562</v>
      </c>
      <c r="F108" s="392"/>
      <c r="G108" s="400"/>
    </row>
    <row r="109" spans="1:7" s="62" customFormat="1" ht="46.5" customHeight="1">
      <c r="A109" s="109"/>
      <c r="B109" s="382"/>
      <c r="C109" s="105" t="s">
        <v>503</v>
      </c>
      <c r="D109" s="484" t="s">
        <v>505</v>
      </c>
      <c r="E109" s="111"/>
      <c r="F109" s="71">
        <v>500562</v>
      </c>
      <c r="G109" s="209"/>
    </row>
    <row r="110" spans="1:7" s="62" customFormat="1" ht="44.25" customHeight="1">
      <c r="A110" s="109"/>
      <c r="B110" s="381" t="s">
        <v>237</v>
      </c>
      <c r="C110" s="110"/>
      <c r="D110" s="493" t="s">
        <v>238</v>
      </c>
      <c r="E110" s="300">
        <f>SUM(E111:E111)</f>
        <v>894494</v>
      </c>
      <c r="F110" s="405">
        <f>SUM(F112:F112)</f>
        <v>894494</v>
      </c>
      <c r="G110" s="405">
        <f>SUM(G112:G112)</f>
        <v>0</v>
      </c>
    </row>
    <row r="111" spans="1:7" s="62" customFormat="1" ht="45" customHeight="1">
      <c r="A111" s="109"/>
      <c r="B111" s="386"/>
      <c r="C111" s="382" t="s">
        <v>208</v>
      </c>
      <c r="D111" s="482" t="s">
        <v>209</v>
      </c>
      <c r="E111" s="394">
        <v>894494</v>
      </c>
      <c r="F111" s="392"/>
      <c r="G111" s="400"/>
    </row>
    <row r="112" spans="1:7" s="62" customFormat="1" ht="12.75">
      <c r="A112" s="110"/>
      <c r="B112" s="382"/>
      <c r="C112" s="107" t="s">
        <v>442</v>
      </c>
      <c r="D112" s="485" t="s">
        <v>443</v>
      </c>
      <c r="E112" s="111"/>
      <c r="F112" s="71">
        <v>894494</v>
      </c>
      <c r="G112" s="209"/>
    </row>
    <row r="113" spans="1:7" s="62" customFormat="1" ht="14.25" customHeight="1">
      <c r="A113" s="109">
        <v>852</v>
      </c>
      <c r="B113" s="107"/>
      <c r="C113" s="105"/>
      <c r="D113" s="61" t="s">
        <v>247</v>
      </c>
      <c r="E113" s="106">
        <f>SUM(E114)</f>
        <v>401000</v>
      </c>
      <c r="F113" s="106">
        <f>SUM(F114)</f>
        <v>401000</v>
      </c>
      <c r="G113" s="67">
        <f>SUM(G114)</f>
        <v>0</v>
      </c>
    </row>
    <row r="114" spans="1:7" s="62" customFormat="1" ht="15" customHeight="1">
      <c r="A114" s="104"/>
      <c r="B114" s="386" t="s">
        <v>239</v>
      </c>
      <c r="C114" s="105"/>
      <c r="D114" s="61" t="s">
        <v>240</v>
      </c>
      <c r="E114" s="106">
        <f>SUM(E115:E132)</f>
        <v>401000</v>
      </c>
      <c r="F114" s="106">
        <f>SUM(F116:F134)</f>
        <v>401000</v>
      </c>
      <c r="G114" s="67">
        <f>SUM(G115:G132)</f>
        <v>0</v>
      </c>
    </row>
    <row r="115" spans="1:7" s="62" customFormat="1" ht="48" customHeight="1">
      <c r="A115" s="109"/>
      <c r="B115" s="386"/>
      <c r="C115" s="107" t="s">
        <v>208</v>
      </c>
      <c r="D115" s="485" t="s">
        <v>209</v>
      </c>
      <c r="E115" s="111">
        <v>401000</v>
      </c>
      <c r="F115" s="71"/>
      <c r="G115" s="209"/>
    </row>
    <row r="116" spans="1:7" s="62" customFormat="1" ht="11.25" customHeight="1">
      <c r="A116" s="109"/>
      <c r="B116" s="381"/>
      <c r="C116" s="538" t="s">
        <v>444</v>
      </c>
      <c r="D116" s="540" t="s">
        <v>445</v>
      </c>
      <c r="E116" s="532"/>
      <c r="F116" s="534">
        <v>1140</v>
      </c>
      <c r="G116" s="536"/>
    </row>
    <row r="117" spans="1:7" s="62" customFormat="1" ht="3" customHeight="1">
      <c r="A117" s="109"/>
      <c r="B117" s="381"/>
      <c r="C117" s="539"/>
      <c r="D117" s="541"/>
      <c r="E117" s="533"/>
      <c r="F117" s="535"/>
      <c r="G117" s="537"/>
    </row>
    <row r="118" spans="1:7" s="62" customFormat="1" ht="13.5" customHeight="1">
      <c r="A118" s="109"/>
      <c r="B118" s="381"/>
      <c r="C118" s="382" t="s">
        <v>403</v>
      </c>
      <c r="D118" s="482" t="s">
        <v>404</v>
      </c>
      <c r="E118" s="112"/>
      <c r="F118" s="380">
        <v>179714</v>
      </c>
      <c r="G118" s="400"/>
    </row>
    <row r="119" spans="1:7" s="62" customFormat="1" ht="12.75">
      <c r="A119" s="109"/>
      <c r="B119" s="381"/>
      <c r="C119" s="382" t="s">
        <v>407</v>
      </c>
      <c r="D119" s="485" t="s">
        <v>408</v>
      </c>
      <c r="E119" s="112"/>
      <c r="F119" s="380">
        <v>11068</v>
      </c>
      <c r="G119" s="400"/>
    </row>
    <row r="120" spans="1:7" s="62" customFormat="1" ht="12.75">
      <c r="A120" s="109"/>
      <c r="B120" s="381"/>
      <c r="C120" s="382" t="s">
        <v>409</v>
      </c>
      <c r="D120" s="482" t="s">
        <v>410</v>
      </c>
      <c r="E120" s="112"/>
      <c r="F120" s="380">
        <v>32749</v>
      </c>
      <c r="G120" s="400"/>
    </row>
    <row r="121" spans="1:7" s="62" customFormat="1" ht="12.75">
      <c r="A121" s="109"/>
      <c r="B121" s="381"/>
      <c r="C121" s="382" t="s">
        <v>411</v>
      </c>
      <c r="D121" s="482" t="s">
        <v>393</v>
      </c>
      <c r="E121" s="112"/>
      <c r="F121" s="380">
        <v>4510</v>
      </c>
      <c r="G121" s="400"/>
    </row>
    <row r="122" spans="1:7" s="62" customFormat="1" ht="12.75">
      <c r="A122" s="109"/>
      <c r="B122" s="381"/>
      <c r="C122" s="382" t="s">
        <v>412</v>
      </c>
      <c r="D122" s="482" t="s">
        <v>446</v>
      </c>
      <c r="E122" s="112"/>
      <c r="F122" s="380">
        <v>6750</v>
      </c>
      <c r="G122" s="400"/>
    </row>
    <row r="123" spans="1:7" s="62" customFormat="1" ht="12.75">
      <c r="A123" s="109"/>
      <c r="B123" s="381"/>
      <c r="C123" s="382" t="s">
        <v>413</v>
      </c>
      <c r="D123" s="482" t="s">
        <v>414</v>
      </c>
      <c r="E123" s="112"/>
      <c r="F123" s="380">
        <v>53000</v>
      </c>
      <c r="G123" s="400"/>
    </row>
    <row r="124" spans="1:7" s="62" customFormat="1" ht="12.75">
      <c r="A124" s="109"/>
      <c r="B124" s="381"/>
      <c r="C124" s="382" t="s">
        <v>415</v>
      </c>
      <c r="D124" s="482" t="s">
        <v>416</v>
      </c>
      <c r="E124" s="112"/>
      <c r="F124" s="380">
        <v>21000</v>
      </c>
      <c r="G124" s="400"/>
    </row>
    <row r="125" spans="1:7" s="62" customFormat="1" ht="12.75">
      <c r="A125" s="109"/>
      <c r="B125" s="381"/>
      <c r="C125" s="382" t="s">
        <v>417</v>
      </c>
      <c r="D125" s="482" t="s">
        <v>418</v>
      </c>
      <c r="E125" s="112"/>
      <c r="F125" s="380">
        <v>30926</v>
      </c>
      <c r="G125" s="400"/>
    </row>
    <row r="126" spans="1:7" s="62" customFormat="1" ht="12.75">
      <c r="A126" s="109"/>
      <c r="B126" s="381"/>
      <c r="C126" s="382" t="s">
        <v>436</v>
      </c>
      <c r="D126" s="482" t="s">
        <v>437</v>
      </c>
      <c r="E126" s="112"/>
      <c r="F126" s="380">
        <v>300</v>
      </c>
      <c r="G126" s="400"/>
    </row>
    <row r="127" spans="1:7" s="62" customFormat="1" ht="12.75">
      <c r="A127" s="109"/>
      <c r="B127" s="381"/>
      <c r="C127" s="107" t="s">
        <v>400</v>
      </c>
      <c r="D127" s="485" t="s">
        <v>395</v>
      </c>
      <c r="E127" s="108"/>
      <c r="F127" s="68">
        <v>30000</v>
      </c>
      <c r="G127" s="209"/>
    </row>
    <row r="128" spans="1:7" s="62" customFormat="1" ht="15.75" customHeight="1">
      <c r="A128" s="109"/>
      <c r="B128" s="381"/>
      <c r="C128" s="107" t="s">
        <v>447</v>
      </c>
      <c r="D128" s="485" t="s">
        <v>448</v>
      </c>
      <c r="E128" s="108"/>
      <c r="F128" s="68">
        <v>2039</v>
      </c>
      <c r="G128" s="209"/>
    </row>
    <row r="129" spans="1:7" s="62" customFormat="1" ht="27" customHeight="1">
      <c r="A129" s="109"/>
      <c r="B129" s="381"/>
      <c r="C129" s="107" t="s">
        <v>451</v>
      </c>
      <c r="D129" s="483" t="s">
        <v>456</v>
      </c>
      <c r="E129" s="108"/>
      <c r="F129" s="68">
        <v>2500</v>
      </c>
      <c r="G129" s="209"/>
    </row>
    <row r="130" spans="1:7" s="62" customFormat="1" ht="12.75">
      <c r="A130" s="109"/>
      <c r="B130" s="381"/>
      <c r="C130" s="107" t="s">
        <v>419</v>
      </c>
      <c r="D130" s="485" t="s">
        <v>420</v>
      </c>
      <c r="E130" s="108"/>
      <c r="F130" s="68">
        <v>4000</v>
      </c>
      <c r="G130" s="209"/>
    </row>
    <row r="131" spans="1:7" s="62" customFormat="1" ht="12.75">
      <c r="A131" s="109"/>
      <c r="B131" s="381"/>
      <c r="C131" s="107" t="s">
        <v>401</v>
      </c>
      <c r="D131" s="485" t="s">
        <v>402</v>
      </c>
      <c r="E131" s="108"/>
      <c r="F131" s="68">
        <v>800</v>
      </c>
      <c r="G131" s="209"/>
    </row>
    <row r="132" spans="1:7" s="62" customFormat="1" ht="22.5">
      <c r="A132" s="109"/>
      <c r="B132" s="381"/>
      <c r="C132" s="386" t="s">
        <v>422</v>
      </c>
      <c r="D132" s="481" t="s">
        <v>423</v>
      </c>
      <c r="E132" s="395"/>
      <c r="F132" s="396">
        <v>7241</v>
      </c>
      <c r="G132" s="403"/>
    </row>
    <row r="133" spans="1:7" s="62" customFormat="1" ht="27" customHeight="1">
      <c r="A133" s="109"/>
      <c r="B133" s="381"/>
      <c r="C133" s="386" t="s">
        <v>453</v>
      </c>
      <c r="D133" s="486" t="s">
        <v>458</v>
      </c>
      <c r="E133" s="395"/>
      <c r="F133" s="396">
        <v>1000</v>
      </c>
      <c r="G133" s="403"/>
    </row>
    <row r="134" spans="1:7" s="62" customFormat="1" ht="22.5">
      <c r="A134" s="110"/>
      <c r="B134" s="382"/>
      <c r="C134" s="386" t="s">
        <v>450</v>
      </c>
      <c r="D134" s="486" t="s">
        <v>460</v>
      </c>
      <c r="E134" s="395"/>
      <c r="F134" s="396">
        <v>12263</v>
      </c>
      <c r="G134" s="403"/>
    </row>
    <row r="135" spans="1:7" s="62" customFormat="1" ht="12.75">
      <c r="A135" s="543" t="s">
        <v>248</v>
      </c>
      <c r="B135" s="544"/>
      <c r="C135" s="545"/>
      <c r="D135" s="545"/>
      <c r="E135" s="72">
        <f>SUM(E113,E106,E69,E54,E28,E17,E11)</f>
        <v>4885556</v>
      </c>
      <c r="F135" s="72">
        <f>SUM(F113,F106,F69,F54,F28,F17,F11)</f>
        <v>4885556</v>
      </c>
      <c r="G135" s="72">
        <f>G11+G17+G28+G54+G69+G106+G113</f>
        <v>878391</v>
      </c>
    </row>
    <row r="136" spans="6:7" ht="12.75">
      <c r="F136" s="97"/>
      <c r="G136" s="65"/>
    </row>
    <row r="137" spans="6:7" ht="12.75">
      <c r="F137" s="97"/>
      <c r="G137" s="65"/>
    </row>
    <row r="138" spans="6:7" ht="12.75">
      <c r="F138" s="97"/>
      <c r="G138" s="65"/>
    </row>
    <row r="139" spans="6:7" ht="12.75">
      <c r="F139" s="97"/>
      <c r="G139" s="65"/>
    </row>
    <row r="140" spans="6:7" ht="12.75">
      <c r="F140" s="97"/>
      <c r="G140" s="65"/>
    </row>
    <row r="141" spans="6:7" ht="12.75">
      <c r="F141" s="97"/>
      <c r="G141" s="65"/>
    </row>
    <row r="142" spans="6:7" ht="12.75">
      <c r="F142" s="97"/>
      <c r="G142" s="65"/>
    </row>
    <row r="143" spans="6:7" ht="12.75">
      <c r="F143" s="97"/>
      <c r="G143" s="65"/>
    </row>
    <row r="144" spans="6:7" ht="12.75">
      <c r="F144" s="97"/>
      <c r="G144" s="65"/>
    </row>
    <row r="145" spans="6:7" ht="12.75">
      <c r="F145" s="97"/>
      <c r="G145" s="65"/>
    </row>
    <row r="146" spans="6:7" ht="12.75">
      <c r="F146" s="97"/>
      <c r="G146" s="65"/>
    </row>
    <row r="147" spans="6:7" ht="12.75">
      <c r="F147" s="97"/>
      <c r="G147" s="65"/>
    </row>
    <row r="148" spans="6:7" ht="12.75">
      <c r="F148" s="97"/>
      <c r="G148" s="65"/>
    </row>
    <row r="149" spans="6:7" ht="12.75">
      <c r="F149" s="97"/>
      <c r="G149" s="65"/>
    </row>
    <row r="150" spans="6:7" ht="12.75">
      <c r="F150" s="97"/>
      <c r="G150" s="65"/>
    </row>
    <row r="151" spans="6:7" ht="12.75">
      <c r="F151" s="97"/>
      <c r="G151" s="65"/>
    </row>
    <row r="152" spans="6:7" ht="12.75">
      <c r="F152" s="97"/>
      <c r="G152" s="65"/>
    </row>
    <row r="153" spans="6:7" ht="12.75">
      <c r="F153" s="97"/>
      <c r="G153" s="65"/>
    </row>
    <row r="154" spans="6:7" ht="12.75">
      <c r="F154" s="97"/>
      <c r="G154" s="65"/>
    </row>
    <row r="155" spans="6:7" ht="12.75">
      <c r="F155" s="97"/>
      <c r="G155" s="65"/>
    </row>
    <row r="156" spans="6:7" ht="12.75">
      <c r="F156" s="97"/>
      <c r="G156" s="65"/>
    </row>
    <row r="157" spans="6:7" ht="12.75">
      <c r="F157" s="97"/>
      <c r="G157" s="65"/>
    </row>
    <row r="158" spans="6:7" ht="12.75">
      <c r="F158" s="97"/>
      <c r="G158" s="65"/>
    </row>
    <row r="159" spans="6:7" ht="12.75">
      <c r="F159" s="97"/>
      <c r="G159" s="65"/>
    </row>
    <row r="160" spans="6:7" ht="12.75">
      <c r="F160" s="97"/>
      <c r="G160" s="65"/>
    </row>
    <row r="161" spans="6:7" ht="12.75">
      <c r="F161" s="97"/>
      <c r="G161" s="65"/>
    </row>
    <row r="162" spans="6:7" ht="12.75">
      <c r="F162" s="97"/>
      <c r="G162" s="65"/>
    </row>
    <row r="163" spans="6:7" ht="12.75">
      <c r="F163" s="97"/>
      <c r="G163" s="65"/>
    </row>
    <row r="164" spans="6:7" ht="12.75">
      <c r="F164" s="97"/>
      <c r="G164" s="65"/>
    </row>
    <row r="165" spans="6:7" ht="12.75">
      <c r="F165" s="97"/>
      <c r="G165" s="65"/>
    </row>
    <row r="166" spans="6:7" ht="12.75">
      <c r="F166" s="97"/>
      <c r="G166" s="65"/>
    </row>
    <row r="167" spans="6:7" ht="12.75">
      <c r="F167" s="97"/>
      <c r="G167" s="65"/>
    </row>
    <row r="168" spans="6:7" ht="12.75">
      <c r="F168" s="97"/>
      <c r="G168" s="65"/>
    </row>
    <row r="169" spans="6:7" ht="12.75">
      <c r="F169" s="97"/>
      <c r="G169" s="65"/>
    </row>
    <row r="170" spans="6:7" ht="12.75">
      <c r="F170" s="97"/>
      <c r="G170" s="65"/>
    </row>
    <row r="171" spans="6:7" ht="12.75">
      <c r="F171" s="97"/>
      <c r="G171" s="65"/>
    </row>
    <row r="172" spans="6:7" ht="12.75">
      <c r="F172" s="97"/>
      <c r="G172" s="65"/>
    </row>
    <row r="173" spans="6:7" ht="12.75">
      <c r="F173" s="97"/>
      <c r="G173" s="65"/>
    </row>
    <row r="174" spans="6:7" ht="12.75">
      <c r="F174" s="97"/>
      <c r="G174" s="65"/>
    </row>
    <row r="175" spans="6:7" ht="12.75">
      <c r="F175" s="97"/>
      <c r="G175" s="65"/>
    </row>
    <row r="176" spans="6:7" ht="12.75">
      <c r="F176" s="97"/>
      <c r="G176" s="65"/>
    </row>
    <row r="177" spans="6:7" ht="12.75">
      <c r="F177" s="97"/>
      <c r="G177" s="65"/>
    </row>
    <row r="178" spans="6:7" ht="12.75">
      <c r="F178" s="97"/>
      <c r="G178" s="65"/>
    </row>
    <row r="179" spans="6:7" ht="12.75">
      <c r="F179" s="97"/>
      <c r="G179" s="65"/>
    </row>
    <row r="180" spans="6:7" ht="12.75">
      <c r="F180" s="97"/>
      <c r="G180" s="65"/>
    </row>
    <row r="181" spans="6:7" ht="12.75">
      <c r="F181" s="97"/>
      <c r="G181" s="65"/>
    </row>
    <row r="182" spans="6:7" ht="12.75">
      <c r="F182" s="97"/>
      <c r="G182" s="65"/>
    </row>
    <row r="183" spans="6:7" ht="12.75">
      <c r="F183" s="97"/>
      <c r="G183" s="65"/>
    </row>
    <row r="184" spans="6:7" ht="12.75">
      <c r="F184" s="97"/>
      <c r="G184" s="65"/>
    </row>
    <row r="185" spans="6:7" ht="12.75">
      <c r="F185" s="97"/>
      <c r="G185" s="65"/>
    </row>
    <row r="186" spans="6:7" ht="12.75">
      <c r="F186" s="97"/>
      <c r="G186" s="65"/>
    </row>
    <row r="187" spans="6:7" ht="12.75">
      <c r="F187" s="97"/>
      <c r="G187" s="65"/>
    </row>
    <row r="188" spans="6:7" ht="12.75">
      <c r="F188" s="97"/>
      <c r="G188" s="65"/>
    </row>
    <row r="189" spans="6:7" ht="12.75">
      <c r="F189" s="97"/>
      <c r="G189" s="65"/>
    </row>
    <row r="190" spans="6:7" ht="12.75">
      <c r="F190" s="97"/>
      <c r="G190" s="65"/>
    </row>
    <row r="191" spans="6:7" ht="12.75">
      <c r="F191" s="97"/>
      <c r="G191" s="65"/>
    </row>
    <row r="192" spans="6:7" ht="12.75">
      <c r="F192" s="97"/>
      <c r="G192" s="65"/>
    </row>
    <row r="193" spans="6:7" ht="12.75">
      <c r="F193" s="97"/>
      <c r="G193" s="65"/>
    </row>
    <row r="194" spans="6:7" ht="12.75">
      <c r="F194" s="97"/>
      <c r="G194" s="65"/>
    </row>
    <row r="195" spans="6:7" ht="12.75">
      <c r="F195" s="97"/>
      <c r="G195" s="65"/>
    </row>
    <row r="196" spans="6:7" ht="12.75">
      <c r="F196" s="97"/>
      <c r="G196" s="65"/>
    </row>
    <row r="197" spans="6:7" ht="12.75">
      <c r="F197" s="97"/>
      <c r="G197" s="65"/>
    </row>
    <row r="198" spans="6:7" ht="12.75">
      <c r="F198" s="97"/>
      <c r="G198" s="65"/>
    </row>
    <row r="199" spans="6:7" ht="12.75">
      <c r="F199" s="97"/>
      <c r="G199" s="65"/>
    </row>
    <row r="200" spans="6:7" ht="12.75">
      <c r="F200" s="97"/>
      <c r="G200" s="65"/>
    </row>
    <row r="201" spans="6:7" ht="12.75">
      <c r="F201" s="97"/>
      <c r="G201" s="65"/>
    </row>
    <row r="202" spans="6:7" ht="12.75">
      <c r="F202" s="97"/>
      <c r="G202" s="65"/>
    </row>
    <row r="203" spans="6:7" ht="12.75">
      <c r="F203" s="97"/>
      <c r="G203" s="65"/>
    </row>
    <row r="204" spans="6:7" ht="12.75">
      <c r="F204" s="97"/>
      <c r="G204" s="65"/>
    </row>
    <row r="205" spans="6:7" ht="12.75">
      <c r="F205" s="97"/>
      <c r="G205" s="65"/>
    </row>
    <row r="206" spans="6:7" ht="12.75">
      <c r="F206" s="97"/>
      <c r="G206" s="65"/>
    </row>
    <row r="207" spans="6:7" ht="12.75">
      <c r="F207" s="97"/>
      <c r="G207" s="65"/>
    </row>
    <row r="208" spans="6:7" ht="12.75">
      <c r="F208" s="97"/>
      <c r="G208" s="65"/>
    </row>
    <row r="209" spans="6:7" ht="12.75">
      <c r="F209" s="97"/>
      <c r="G209" s="65"/>
    </row>
    <row r="210" spans="6:7" ht="12.75">
      <c r="F210" s="97"/>
      <c r="G210" s="65"/>
    </row>
    <row r="211" spans="6:7" ht="12.75">
      <c r="F211" s="97"/>
      <c r="G211" s="65"/>
    </row>
    <row r="212" spans="6:7" ht="12.75">
      <c r="F212" s="97"/>
      <c r="G212" s="65"/>
    </row>
    <row r="213" spans="6:7" ht="12.75">
      <c r="F213" s="97"/>
      <c r="G213" s="65"/>
    </row>
    <row r="214" spans="6:7" ht="12.75">
      <c r="F214" s="97"/>
      <c r="G214" s="65"/>
    </row>
    <row r="215" spans="6:7" ht="12.75">
      <c r="F215" s="97"/>
      <c r="G215" s="65"/>
    </row>
    <row r="216" spans="6:7" ht="12.75">
      <c r="F216" s="97"/>
      <c r="G216" s="65"/>
    </row>
    <row r="217" spans="6:7" ht="12.75">
      <c r="F217" s="97"/>
      <c r="G217" s="65"/>
    </row>
    <row r="218" spans="6:7" ht="12.75">
      <c r="F218" s="97"/>
      <c r="G218" s="65"/>
    </row>
    <row r="219" spans="6:7" ht="12.75">
      <c r="F219" s="97"/>
      <c r="G219" s="65"/>
    </row>
    <row r="220" spans="6:7" ht="12.75">
      <c r="F220" s="97"/>
      <c r="G220" s="65"/>
    </row>
    <row r="221" spans="6:7" ht="12.75">
      <c r="F221" s="97"/>
      <c r="G221" s="65"/>
    </row>
    <row r="222" spans="6:7" ht="12.75">
      <c r="F222" s="97"/>
      <c r="G222" s="65"/>
    </row>
    <row r="223" spans="6:7" ht="12.75">
      <c r="F223" s="97"/>
      <c r="G223" s="65"/>
    </row>
    <row r="224" spans="6:7" ht="12.75">
      <c r="F224" s="97"/>
      <c r="G224" s="65"/>
    </row>
    <row r="225" spans="6:7" ht="12.75">
      <c r="F225" s="97"/>
      <c r="G225" s="65"/>
    </row>
    <row r="226" spans="6:7" ht="12.75">
      <c r="F226" s="97"/>
      <c r="G226" s="65"/>
    </row>
    <row r="227" spans="6:7" ht="12.75">
      <c r="F227" s="97"/>
      <c r="G227" s="65"/>
    </row>
    <row r="228" spans="6:7" ht="12.75">
      <c r="F228" s="97"/>
      <c r="G228" s="65"/>
    </row>
    <row r="229" spans="6:7" ht="12.75">
      <c r="F229" s="97"/>
      <c r="G229" s="65"/>
    </row>
    <row r="230" spans="6:7" ht="12.75">
      <c r="F230" s="97"/>
      <c r="G230" s="65"/>
    </row>
    <row r="231" spans="6:7" ht="12.75">
      <c r="F231" s="97"/>
      <c r="G231" s="65"/>
    </row>
    <row r="232" spans="6:7" ht="12.75">
      <c r="F232" s="97"/>
      <c r="G232" s="65"/>
    </row>
    <row r="233" spans="6:7" ht="12.75">
      <c r="F233" s="97"/>
      <c r="G233" s="65"/>
    </row>
    <row r="234" spans="6:7" ht="12.75">
      <c r="F234" s="97"/>
      <c r="G234" s="65"/>
    </row>
    <row r="235" spans="6:7" ht="12.75">
      <c r="F235" s="97"/>
      <c r="G235" s="65"/>
    </row>
    <row r="236" spans="6:7" ht="12.75">
      <c r="F236" s="97"/>
      <c r="G236" s="65"/>
    </row>
    <row r="237" spans="6:7" ht="12.75">
      <c r="F237" s="97"/>
      <c r="G237" s="65"/>
    </row>
    <row r="238" spans="6:7" ht="12.75">
      <c r="F238" s="97"/>
      <c r="G238" s="65"/>
    </row>
    <row r="239" spans="6:7" ht="12.75">
      <c r="F239" s="97"/>
      <c r="G239" s="65"/>
    </row>
    <row r="240" spans="6:7" ht="12.75">
      <c r="F240" s="97"/>
      <c r="G240" s="65"/>
    </row>
    <row r="241" spans="6:7" ht="12.75">
      <c r="F241" s="97"/>
      <c r="G241" s="65"/>
    </row>
    <row r="242" spans="6:7" ht="12.75">
      <c r="F242" s="97"/>
      <c r="G242" s="65"/>
    </row>
    <row r="243" spans="6:7" ht="12.75">
      <c r="F243" s="97"/>
      <c r="G243" s="65"/>
    </row>
    <row r="244" spans="6:7" ht="12.75">
      <c r="F244" s="97"/>
      <c r="G244" s="65"/>
    </row>
    <row r="245" spans="6:7" ht="12.75">
      <c r="F245" s="97"/>
      <c r="G245" s="65"/>
    </row>
    <row r="246" spans="6:7" ht="12.75">
      <c r="F246" s="97"/>
      <c r="G246" s="65"/>
    </row>
    <row r="247" spans="6:7" ht="12.75">
      <c r="F247" s="97"/>
      <c r="G247" s="65"/>
    </row>
    <row r="248" spans="6:7" ht="12.75">
      <c r="F248" s="97"/>
      <c r="G248" s="65"/>
    </row>
    <row r="249" spans="6:7" ht="12.75">
      <c r="F249" s="97"/>
      <c r="G249" s="65"/>
    </row>
    <row r="250" spans="6:7" ht="12.75">
      <c r="F250" s="97"/>
      <c r="G250" s="65"/>
    </row>
    <row r="251" spans="6:7" ht="12.75">
      <c r="F251" s="97"/>
      <c r="G251" s="65"/>
    </row>
    <row r="252" spans="6:7" ht="12.75">
      <c r="F252" s="97"/>
      <c r="G252" s="65"/>
    </row>
    <row r="253" spans="6:7" ht="12.75">
      <c r="F253" s="97"/>
      <c r="G253" s="65"/>
    </row>
    <row r="254" spans="6:7" ht="12.75">
      <c r="F254" s="97"/>
      <c r="G254" s="65"/>
    </row>
    <row r="255" spans="6:7" ht="12.75">
      <c r="F255" s="97"/>
      <c r="G255" s="65"/>
    </row>
    <row r="256" spans="6:7" ht="12.75">
      <c r="F256" s="97"/>
      <c r="G256" s="65"/>
    </row>
    <row r="257" spans="6:7" ht="12.75">
      <c r="F257" s="97"/>
      <c r="G257" s="65"/>
    </row>
    <row r="258" spans="6:7" ht="12.75">
      <c r="F258" s="97"/>
      <c r="G258" s="65"/>
    </row>
    <row r="259" spans="6:7" ht="12.75">
      <c r="F259" s="97"/>
      <c r="G259" s="65"/>
    </row>
    <row r="260" spans="6:7" ht="12.75">
      <c r="F260" s="97"/>
      <c r="G260" s="65"/>
    </row>
    <row r="261" spans="6:7" ht="12.75">
      <c r="F261" s="97"/>
      <c r="G261" s="65"/>
    </row>
    <row r="262" spans="6:7" ht="12.75">
      <c r="F262" s="97"/>
      <c r="G262" s="65"/>
    </row>
    <row r="263" spans="6:7" ht="12.75">
      <c r="F263" s="97"/>
      <c r="G263" s="65"/>
    </row>
    <row r="264" spans="6:7" ht="12.75">
      <c r="F264" s="97"/>
      <c r="G264" s="65"/>
    </row>
    <row r="265" spans="6:7" ht="12.75">
      <c r="F265" s="97"/>
      <c r="G265" s="65"/>
    </row>
    <row r="266" spans="6:7" ht="12.75">
      <c r="F266" s="97"/>
      <c r="G266" s="65"/>
    </row>
    <row r="267" spans="6:7" ht="12.75">
      <c r="F267" s="97"/>
      <c r="G267" s="65"/>
    </row>
    <row r="268" spans="6:7" ht="12.75">
      <c r="F268" s="97"/>
      <c r="G268" s="65"/>
    </row>
    <row r="269" spans="6:7" ht="12.75">
      <c r="F269" s="97"/>
      <c r="G269" s="65"/>
    </row>
    <row r="270" spans="6:7" ht="12.75">
      <c r="F270" s="97"/>
      <c r="G270" s="65"/>
    </row>
    <row r="271" spans="6:7" ht="12.75">
      <c r="F271" s="97"/>
      <c r="G271" s="65"/>
    </row>
    <row r="272" spans="6:7" ht="12.75">
      <c r="F272" s="97"/>
      <c r="G272" s="65"/>
    </row>
    <row r="273" spans="6:7" ht="12.75">
      <c r="F273" s="97"/>
      <c r="G273" s="65"/>
    </row>
    <row r="274" spans="6:7" ht="12.75">
      <c r="F274" s="97"/>
      <c r="G274" s="65"/>
    </row>
    <row r="275" spans="6:7" ht="12.75">
      <c r="F275" s="97"/>
      <c r="G275" s="65"/>
    </row>
    <row r="276" spans="6:7" ht="12.75">
      <c r="F276" s="97"/>
      <c r="G276" s="65"/>
    </row>
    <row r="277" spans="6:7" ht="12.75">
      <c r="F277" s="97"/>
      <c r="G277" s="65"/>
    </row>
    <row r="278" spans="6:7" ht="12.75">
      <c r="F278" s="97"/>
      <c r="G278" s="65"/>
    </row>
    <row r="279" spans="6:7" ht="12.75">
      <c r="F279" s="97"/>
      <c r="G279" s="65"/>
    </row>
    <row r="280" spans="6:7" ht="12.75">
      <c r="F280" s="97"/>
      <c r="G280" s="65"/>
    </row>
    <row r="281" spans="6:7" ht="12.75">
      <c r="F281" s="97"/>
      <c r="G281" s="65"/>
    </row>
    <row r="282" spans="6:7" ht="12.75">
      <c r="F282" s="97"/>
      <c r="G282" s="65"/>
    </row>
    <row r="283" spans="6:7" ht="12.75">
      <c r="F283" s="97"/>
      <c r="G283" s="65"/>
    </row>
    <row r="284" spans="6:7" ht="12.75">
      <c r="F284" s="97"/>
      <c r="G284" s="65"/>
    </row>
    <row r="285" spans="6:7" ht="12.75">
      <c r="F285" s="97"/>
      <c r="G285" s="65"/>
    </row>
    <row r="286" spans="6:7" ht="12.75">
      <c r="F286" s="97"/>
      <c r="G286" s="65"/>
    </row>
    <row r="287" spans="6:7" ht="12.75">
      <c r="F287" s="97"/>
      <c r="G287" s="65"/>
    </row>
    <row r="288" spans="6:7" ht="12.75">
      <c r="F288" s="97"/>
      <c r="G288" s="65"/>
    </row>
    <row r="289" spans="6:7" ht="12.75">
      <c r="F289" s="97"/>
      <c r="G289" s="65"/>
    </row>
    <row r="290" spans="6:7" ht="12.75">
      <c r="F290" s="97"/>
      <c r="G290" s="65"/>
    </row>
    <row r="291" spans="6:7" ht="12.75">
      <c r="F291" s="97"/>
      <c r="G291" s="65"/>
    </row>
    <row r="292" spans="6:7" ht="12.75">
      <c r="F292" s="97"/>
      <c r="G292" s="65"/>
    </row>
    <row r="293" spans="6:7" ht="12.75">
      <c r="F293" s="97"/>
      <c r="G293" s="65"/>
    </row>
    <row r="294" spans="6:7" ht="12.75">
      <c r="F294" s="97"/>
      <c r="G294" s="65"/>
    </row>
    <row r="295" spans="6:7" ht="12.75">
      <c r="F295" s="97"/>
      <c r="G295" s="65"/>
    </row>
    <row r="296" spans="6:7" ht="12.75">
      <c r="F296" s="97"/>
      <c r="G296" s="65"/>
    </row>
    <row r="297" spans="6:7" ht="12.75">
      <c r="F297" s="97"/>
      <c r="G297" s="65"/>
    </row>
    <row r="298" spans="6:7" ht="12.75">
      <c r="F298" s="97"/>
      <c r="G298" s="65"/>
    </row>
    <row r="299" spans="6:7" ht="12.75">
      <c r="F299" s="97"/>
      <c r="G299" s="65"/>
    </row>
    <row r="300" spans="6:7" ht="12.75">
      <c r="F300" s="97"/>
      <c r="G300" s="65"/>
    </row>
    <row r="301" spans="6:7" ht="12.75">
      <c r="F301" s="97"/>
      <c r="G301" s="65"/>
    </row>
    <row r="302" spans="6:7" ht="12.75">
      <c r="F302" s="97"/>
      <c r="G302" s="65"/>
    </row>
    <row r="303" spans="6:7" ht="12.75">
      <c r="F303" s="97"/>
      <c r="G303" s="65"/>
    </row>
    <row r="304" spans="6:7" ht="12.75">
      <c r="F304" s="97"/>
      <c r="G304" s="65"/>
    </row>
    <row r="305" spans="6:7" ht="12.75">
      <c r="F305" s="97"/>
      <c r="G305" s="65"/>
    </row>
    <row r="306" spans="6:7" ht="12.75">
      <c r="F306" s="97"/>
      <c r="G306" s="65"/>
    </row>
    <row r="307" spans="6:7" ht="12.75">
      <c r="F307" s="97"/>
      <c r="G307" s="65"/>
    </row>
    <row r="308" spans="6:7" ht="12.75">
      <c r="F308" s="97"/>
      <c r="G308" s="65"/>
    </row>
    <row r="309" spans="6:7" ht="12.75">
      <c r="F309" s="97"/>
      <c r="G309" s="65"/>
    </row>
    <row r="310" spans="6:7" ht="12.75">
      <c r="F310" s="97"/>
      <c r="G310" s="65"/>
    </row>
    <row r="311" spans="6:7" ht="12.75">
      <c r="F311" s="97"/>
      <c r="G311" s="65"/>
    </row>
    <row r="312" spans="6:7" ht="12.75">
      <c r="F312" s="97"/>
      <c r="G312" s="65"/>
    </row>
    <row r="313" spans="6:7" ht="12.75">
      <c r="F313" s="97"/>
      <c r="G313" s="65"/>
    </row>
    <row r="314" spans="6:7" ht="12.75">
      <c r="F314" s="97"/>
      <c r="G314" s="65"/>
    </row>
    <row r="315" spans="6:7" ht="12.75">
      <c r="F315" s="97"/>
      <c r="G315" s="65"/>
    </row>
    <row r="316" spans="6:7" ht="12.75">
      <c r="F316" s="97"/>
      <c r="G316" s="65"/>
    </row>
    <row r="317" spans="6:7" ht="12.75">
      <c r="F317" s="97"/>
      <c r="G317" s="65"/>
    </row>
    <row r="318" spans="6:7" ht="12.75">
      <c r="F318" s="97"/>
      <c r="G318" s="65"/>
    </row>
    <row r="319" spans="6:7" ht="12.75">
      <c r="F319" s="97"/>
      <c r="G319" s="65"/>
    </row>
    <row r="320" spans="6:7" ht="12.75">
      <c r="F320" s="97"/>
      <c r="G320" s="65"/>
    </row>
    <row r="321" spans="6:7" ht="12.75">
      <c r="F321" s="97"/>
      <c r="G321" s="65"/>
    </row>
    <row r="322" spans="6:7" ht="12.75">
      <c r="F322" s="97"/>
      <c r="G322" s="65"/>
    </row>
    <row r="323" spans="6:7" ht="12.75">
      <c r="F323" s="97"/>
      <c r="G323" s="65"/>
    </row>
    <row r="324" spans="6:7" ht="12.75">
      <c r="F324" s="97"/>
      <c r="G324" s="65"/>
    </row>
    <row r="325" spans="6:7" ht="12.75">
      <c r="F325" s="97"/>
      <c r="G325" s="65"/>
    </row>
    <row r="326" spans="6:7" ht="12.75">
      <c r="F326" s="97"/>
      <c r="G326" s="65"/>
    </row>
    <row r="327" spans="6:7" ht="12.75">
      <c r="F327" s="97"/>
      <c r="G327" s="65"/>
    </row>
    <row r="328" spans="6:7" ht="12.75">
      <c r="F328" s="97"/>
      <c r="G328" s="65"/>
    </row>
    <row r="329" spans="6:7" ht="12.75">
      <c r="F329" s="97"/>
      <c r="G329" s="65"/>
    </row>
    <row r="330" spans="6:7" ht="12.75">
      <c r="F330" s="97"/>
      <c r="G330" s="65"/>
    </row>
    <row r="331" spans="6:7" ht="12.75">
      <c r="F331" s="97"/>
      <c r="G331" s="65"/>
    </row>
    <row r="332" spans="6:7" ht="12.75">
      <c r="F332" s="97"/>
      <c r="G332" s="65"/>
    </row>
    <row r="333" spans="6:7" ht="12.75">
      <c r="F333" s="97"/>
      <c r="G333" s="65"/>
    </row>
    <row r="334" spans="6:7" ht="12.75">
      <c r="F334" s="97"/>
      <c r="G334" s="65"/>
    </row>
    <row r="335" spans="6:7" ht="12.75">
      <c r="F335" s="97"/>
      <c r="G335" s="65"/>
    </row>
    <row r="336" spans="6:7" ht="12.75">
      <c r="F336" s="97"/>
      <c r="G336" s="65"/>
    </row>
    <row r="337" spans="6:7" ht="12.75">
      <c r="F337" s="97"/>
      <c r="G337" s="65"/>
    </row>
    <row r="338" spans="6:7" ht="12.75">
      <c r="F338" s="97"/>
      <c r="G338" s="65"/>
    </row>
    <row r="339" spans="6:7" ht="12.75">
      <c r="F339" s="97"/>
      <c r="G339" s="65"/>
    </row>
    <row r="340" spans="6:7" ht="12.75">
      <c r="F340" s="97"/>
      <c r="G340" s="65"/>
    </row>
    <row r="341" spans="6:7" ht="12.75">
      <c r="F341" s="97"/>
      <c r="G341" s="65"/>
    </row>
    <row r="342" spans="6:7" ht="12.75">
      <c r="F342" s="97"/>
      <c r="G342" s="65"/>
    </row>
    <row r="343" spans="6:7" ht="12.75">
      <c r="F343" s="97"/>
      <c r="G343" s="65"/>
    </row>
    <row r="344" spans="6:7" ht="12.75">
      <c r="F344" s="97"/>
      <c r="G344" s="65"/>
    </row>
    <row r="345" spans="6:7" ht="12.75">
      <c r="F345" s="97"/>
      <c r="G345" s="65"/>
    </row>
    <row r="346" spans="6:7" ht="12.75">
      <c r="F346" s="97"/>
      <c r="G346" s="65"/>
    </row>
    <row r="347" spans="6:7" ht="12.75">
      <c r="F347" s="97"/>
      <c r="G347" s="65"/>
    </row>
    <row r="348" spans="6:7" ht="12.75">
      <c r="F348" s="97"/>
      <c r="G348" s="65"/>
    </row>
    <row r="349" spans="6:7" ht="12.75">
      <c r="F349" s="97"/>
      <c r="G349" s="65"/>
    </row>
    <row r="350" spans="6:7" ht="12.75">
      <c r="F350" s="97"/>
      <c r="G350" s="65"/>
    </row>
    <row r="351" spans="6:7" ht="12.75">
      <c r="F351" s="97"/>
      <c r="G351" s="65"/>
    </row>
    <row r="352" spans="6:7" ht="12.75">
      <c r="F352" s="97"/>
      <c r="G352" s="65"/>
    </row>
    <row r="353" spans="6:7" ht="12.75">
      <c r="F353" s="97"/>
      <c r="G353" s="65"/>
    </row>
    <row r="354" spans="6:7" ht="12.75">
      <c r="F354" s="97"/>
      <c r="G354" s="65"/>
    </row>
    <row r="355" spans="6:7" ht="12.75">
      <c r="F355" s="97"/>
      <c r="G355" s="65"/>
    </row>
    <row r="356" spans="6:7" ht="12.75">
      <c r="F356" s="97"/>
      <c r="G356" s="65"/>
    </row>
    <row r="357" spans="6:7" ht="12.75">
      <c r="F357" s="97"/>
      <c r="G357" s="65"/>
    </row>
    <row r="358" spans="6:7" ht="12.75">
      <c r="F358" s="97"/>
      <c r="G358" s="65"/>
    </row>
    <row r="359" spans="6:7" ht="12.75">
      <c r="F359" s="97"/>
      <c r="G359" s="65"/>
    </row>
    <row r="360" spans="6:7" ht="12.75">
      <c r="F360" s="97"/>
      <c r="G360" s="65"/>
    </row>
    <row r="361" spans="6:7" ht="12.75">
      <c r="F361" s="97"/>
      <c r="G361" s="65"/>
    </row>
    <row r="362" spans="6:7" ht="12.75">
      <c r="F362" s="97"/>
      <c r="G362" s="65"/>
    </row>
    <row r="363" spans="6:7" ht="12.75">
      <c r="F363" s="97"/>
      <c r="G363" s="65"/>
    </row>
    <row r="364" spans="6:7" ht="12.75">
      <c r="F364" s="97"/>
      <c r="G364" s="65"/>
    </row>
    <row r="365" spans="6:7" ht="12.75">
      <c r="F365" s="97"/>
      <c r="G365" s="65"/>
    </row>
    <row r="366" spans="6:7" ht="12.75">
      <c r="F366" s="97"/>
      <c r="G366" s="65"/>
    </row>
    <row r="367" spans="6:7" ht="12.75">
      <c r="F367" s="97"/>
      <c r="G367" s="65"/>
    </row>
    <row r="368" spans="6:7" ht="12.75">
      <c r="F368" s="97"/>
      <c r="G368" s="65"/>
    </row>
    <row r="369" spans="6:7" ht="12.75">
      <c r="F369" s="97"/>
      <c r="G369" s="65"/>
    </row>
    <row r="370" spans="6:7" ht="12.75">
      <c r="F370" s="97"/>
      <c r="G370" s="65"/>
    </row>
    <row r="371" spans="6:7" ht="12.75">
      <c r="F371" s="97"/>
      <c r="G371" s="65"/>
    </row>
    <row r="372" spans="6:7" ht="12.75">
      <c r="F372" s="97"/>
      <c r="G372" s="65"/>
    </row>
    <row r="373" spans="6:7" ht="12.75">
      <c r="F373" s="97"/>
      <c r="G373" s="65"/>
    </row>
    <row r="374" spans="6:7" ht="12.75">
      <c r="F374" s="97"/>
      <c r="G374" s="65"/>
    </row>
    <row r="375" spans="6:7" ht="12.75">
      <c r="F375" s="97"/>
      <c r="G375" s="65"/>
    </row>
    <row r="376" spans="6:7" ht="12.75">
      <c r="F376" s="97"/>
      <c r="G376" s="65"/>
    </row>
    <row r="377" spans="6:7" ht="12.75">
      <c r="F377" s="97"/>
      <c r="G377" s="65"/>
    </row>
    <row r="378" spans="6:7" ht="12.75">
      <c r="F378" s="97"/>
      <c r="G378" s="65"/>
    </row>
    <row r="379" spans="6:7" ht="12.75">
      <c r="F379" s="97"/>
      <c r="G379" s="65"/>
    </row>
    <row r="380" spans="6:7" ht="12.75">
      <c r="F380" s="97"/>
      <c r="G380" s="65"/>
    </row>
    <row r="381" spans="6:7" ht="12.75">
      <c r="F381" s="97"/>
      <c r="G381" s="65"/>
    </row>
    <row r="382" spans="6:7" ht="12.75">
      <c r="F382" s="97"/>
      <c r="G382" s="65"/>
    </row>
    <row r="383" spans="6:7" ht="12.75">
      <c r="F383" s="97"/>
      <c r="G383" s="65"/>
    </row>
    <row r="384" spans="6:7" ht="12.75">
      <c r="F384" s="97"/>
      <c r="G384" s="65"/>
    </row>
    <row r="385" spans="6:7" ht="12.75">
      <c r="F385" s="97"/>
      <c r="G385" s="65"/>
    </row>
    <row r="386" spans="6:7" ht="12.75">
      <c r="F386" s="97"/>
      <c r="G386" s="65"/>
    </row>
    <row r="387" spans="6:7" ht="12.75">
      <c r="F387" s="97"/>
      <c r="G387" s="65"/>
    </row>
    <row r="388" spans="6:7" ht="12.75">
      <c r="F388" s="97"/>
      <c r="G388" s="65"/>
    </row>
    <row r="389" spans="6:7" ht="12.75">
      <c r="F389" s="97"/>
      <c r="G389" s="65"/>
    </row>
    <row r="390" spans="6:7" ht="12.75">
      <c r="F390" s="97"/>
      <c r="G390" s="65"/>
    </row>
    <row r="391" spans="6:7" ht="12.75">
      <c r="F391" s="97"/>
      <c r="G391" s="65"/>
    </row>
    <row r="392" spans="6:7" ht="12.75">
      <c r="F392" s="97"/>
      <c r="G392" s="65"/>
    </row>
    <row r="393" spans="6:7" ht="12.75">
      <c r="F393" s="97"/>
      <c r="G393" s="65"/>
    </row>
    <row r="394" spans="6:7" ht="12.75">
      <c r="F394" s="97"/>
      <c r="G394" s="65"/>
    </row>
    <row r="395" spans="6:7" ht="12.75">
      <c r="F395" s="97"/>
      <c r="G395" s="65"/>
    </row>
    <row r="396" spans="6:7" ht="12.75">
      <c r="F396" s="97"/>
      <c r="G396" s="65"/>
    </row>
    <row r="397" spans="6:7" ht="12.75">
      <c r="F397" s="97"/>
      <c r="G397" s="65"/>
    </row>
    <row r="398" spans="6:7" ht="12.75">
      <c r="F398" s="97"/>
      <c r="G398" s="65"/>
    </row>
    <row r="399" spans="6:7" ht="12.75">
      <c r="F399" s="97"/>
      <c r="G399" s="65"/>
    </row>
    <row r="400" spans="6:7" ht="12.75">
      <c r="F400" s="97"/>
      <c r="G400" s="65"/>
    </row>
    <row r="401" spans="6:7" ht="12.75">
      <c r="F401" s="97"/>
      <c r="G401" s="65"/>
    </row>
    <row r="402" spans="6:7" ht="12.75">
      <c r="F402" s="97"/>
      <c r="G402" s="65"/>
    </row>
    <row r="403" spans="6:7" ht="12.75">
      <c r="F403" s="97"/>
      <c r="G403" s="65"/>
    </row>
    <row r="404" spans="6:7" ht="12.75">
      <c r="F404" s="97"/>
      <c r="G404" s="65"/>
    </row>
    <row r="405" spans="6:7" ht="12.75">
      <c r="F405" s="97"/>
      <c r="G405" s="65"/>
    </row>
    <row r="406" spans="6:7" ht="12.75">
      <c r="F406" s="97"/>
      <c r="G406" s="65"/>
    </row>
    <row r="407" spans="6:7" ht="12.75">
      <c r="F407" s="97"/>
      <c r="G407" s="65"/>
    </row>
    <row r="408" spans="6:7" ht="12.75">
      <c r="F408" s="97"/>
      <c r="G408" s="65"/>
    </row>
    <row r="409" spans="6:7" ht="12.75">
      <c r="F409" s="97"/>
      <c r="G409" s="65"/>
    </row>
    <row r="410" spans="6:7" ht="12.75">
      <c r="F410" s="97"/>
      <c r="G410" s="65"/>
    </row>
    <row r="411" spans="6:7" ht="12.75">
      <c r="F411" s="97"/>
      <c r="G411" s="65"/>
    </row>
    <row r="412" spans="6:7" ht="12.75">
      <c r="F412" s="97"/>
      <c r="G412" s="65"/>
    </row>
    <row r="413" spans="6:7" ht="12.75">
      <c r="F413" s="97"/>
      <c r="G413" s="65"/>
    </row>
    <row r="414" spans="6:7" ht="12.75">
      <c r="F414" s="97"/>
      <c r="G414" s="65"/>
    </row>
    <row r="415" spans="6:7" ht="12.75">
      <c r="F415" s="97"/>
      <c r="G415" s="65"/>
    </row>
    <row r="416" spans="6:7" ht="12.75">
      <c r="F416" s="97"/>
      <c r="G416" s="65"/>
    </row>
    <row r="417" spans="6:7" ht="12.75">
      <c r="F417" s="97"/>
      <c r="G417" s="65"/>
    </row>
    <row r="418" spans="6:7" ht="12.75">
      <c r="F418" s="97"/>
      <c r="G418" s="65"/>
    </row>
    <row r="419" spans="6:7" ht="12.75">
      <c r="F419" s="97"/>
      <c r="G419" s="65"/>
    </row>
    <row r="420" spans="6:7" ht="12.75">
      <c r="F420" s="97"/>
      <c r="G420" s="65"/>
    </row>
    <row r="421" spans="6:7" ht="12.75">
      <c r="F421" s="97"/>
      <c r="G421" s="65"/>
    </row>
    <row r="422" spans="6:7" ht="12.75">
      <c r="F422" s="97"/>
      <c r="G422" s="65"/>
    </row>
    <row r="423" spans="6:7" ht="12.75">
      <c r="F423" s="97"/>
      <c r="G423" s="65"/>
    </row>
    <row r="424" spans="6:7" ht="12.75">
      <c r="F424" s="97"/>
      <c r="G424" s="65"/>
    </row>
    <row r="425" spans="6:7" ht="12.75">
      <c r="F425" s="97"/>
      <c r="G425" s="65"/>
    </row>
    <row r="426" spans="6:7" ht="12.75">
      <c r="F426" s="97"/>
      <c r="G426" s="65"/>
    </row>
    <row r="427" spans="6:7" ht="12.75">
      <c r="F427" s="97"/>
      <c r="G427" s="65"/>
    </row>
    <row r="428" spans="6:7" ht="12.75">
      <c r="F428" s="97"/>
      <c r="G428" s="65"/>
    </row>
    <row r="429" spans="6:7" ht="12.75">
      <c r="F429" s="97"/>
      <c r="G429" s="65"/>
    </row>
    <row r="430" spans="6:7" ht="12.75">
      <c r="F430" s="97"/>
      <c r="G430" s="65"/>
    </row>
    <row r="431" spans="6:7" ht="12.75">
      <c r="F431" s="97"/>
      <c r="G431" s="65"/>
    </row>
    <row r="432" spans="6:7" ht="12.75">
      <c r="F432" s="97"/>
      <c r="G432" s="65"/>
    </row>
    <row r="433" spans="6:7" ht="12.75">
      <c r="F433" s="97"/>
      <c r="G433" s="65"/>
    </row>
    <row r="434" spans="6:7" ht="12.75">
      <c r="F434" s="97"/>
      <c r="G434" s="65"/>
    </row>
    <row r="435" spans="6:7" ht="12.75">
      <c r="F435" s="97"/>
      <c r="G435" s="65"/>
    </row>
    <row r="436" spans="6:7" ht="12.75">
      <c r="F436" s="97"/>
      <c r="G436" s="65"/>
    </row>
    <row r="437" spans="6:7" ht="12.75">
      <c r="F437" s="97"/>
      <c r="G437" s="65"/>
    </row>
    <row r="438" spans="6:7" ht="12.75">
      <c r="F438" s="97"/>
      <c r="G438" s="65"/>
    </row>
    <row r="439" spans="6:7" ht="12.75">
      <c r="F439" s="97"/>
      <c r="G439" s="65"/>
    </row>
    <row r="440" spans="6:7" ht="12.75">
      <c r="F440" s="97"/>
      <c r="G440" s="65"/>
    </row>
    <row r="441" spans="6:7" ht="12.75">
      <c r="F441" s="97"/>
      <c r="G441" s="65"/>
    </row>
    <row r="442" spans="6:7" ht="12.75">
      <c r="F442" s="97"/>
      <c r="G442" s="65"/>
    </row>
    <row r="443" spans="6:7" ht="12.75">
      <c r="F443" s="97"/>
      <c r="G443" s="65"/>
    </row>
    <row r="444" spans="6:7" ht="12.75">
      <c r="F444" s="97"/>
      <c r="G444" s="65"/>
    </row>
    <row r="445" spans="6:7" ht="12.75">
      <c r="F445" s="97"/>
      <c r="G445" s="65"/>
    </row>
    <row r="446" spans="6:7" ht="12.75">
      <c r="F446" s="97"/>
      <c r="G446" s="65"/>
    </row>
    <row r="447" spans="6:7" ht="12.75">
      <c r="F447" s="97"/>
      <c r="G447" s="65"/>
    </row>
    <row r="448" spans="6:7" ht="12.75">
      <c r="F448" s="97"/>
      <c r="G448" s="65"/>
    </row>
    <row r="449" spans="6:7" ht="12.75">
      <c r="F449" s="97"/>
      <c r="G449" s="65"/>
    </row>
    <row r="450" spans="6:7" ht="12.75">
      <c r="F450" s="97"/>
      <c r="G450" s="65"/>
    </row>
    <row r="451" spans="6:7" ht="12.75">
      <c r="F451" s="97"/>
      <c r="G451" s="65"/>
    </row>
    <row r="452" spans="6:7" ht="12.75">
      <c r="F452" s="97"/>
      <c r="G452" s="65"/>
    </row>
    <row r="453" spans="6:7" ht="12.75">
      <c r="F453" s="97"/>
      <c r="G453" s="65"/>
    </row>
    <row r="454" spans="6:7" ht="12.75">
      <c r="F454" s="97"/>
      <c r="G454" s="65"/>
    </row>
    <row r="455" spans="6:7" ht="12.75">
      <c r="F455" s="97"/>
      <c r="G455" s="65"/>
    </row>
    <row r="456" spans="6:7" ht="12.75">
      <c r="F456" s="97"/>
      <c r="G456" s="65"/>
    </row>
    <row r="457" spans="6:7" ht="12.75">
      <c r="F457" s="97"/>
      <c r="G457" s="65"/>
    </row>
    <row r="458" spans="6:7" ht="12.75">
      <c r="F458" s="97"/>
      <c r="G458" s="65"/>
    </row>
    <row r="459" spans="6:7" ht="12.75">
      <c r="F459" s="97"/>
      <c r="G459" s="65"/>
    </row>
    <row r="460" spans="6:7" ht="12.75">
      <c r="F460" s="97"/>
      <c r="G460" s="65"/>
    </row>
    <row r="461" spans="6:7" ht="12.75">
      <c r="F461" s="97"/>
      <c r="G461" s="65"/>
    </row>
    <row r="462" spans="6:7" ht="12.75">
      <c r="F462" s="97"/>
      <c r="G462" s="65"/>
    </row>
    <row r="463" spans="6:7" ht="12.75">
      <c r="F463" s="97"/>
      <c r="G463" s="65"/>
    </row>
    <row r="464" spans="6:7" ht="12.75">
      <c r="F464" s="97"/>
      <c r="G464" s="65"/>
    </row>
    <row r="465" spans="6:7" ht="12.75">
      <c r="F465" s="97"/>
      <c r="G465" s="65"/>
    </row>
    <row r="466" spans="6:7" ht="12.75">
      <c r="F466" s="97"/>
      <c r="G466" s="65"/>
    </row>
    <row r="467" spans="6:7" ht="12.75">
      <c r="F467" s="97"/>
      <c r="G467" s="65"/>
    </row>
    <row r="468" spans="6:7" ht="12.75">
      <c r="F468" s="97"/>
      <c r="G468" s="65"/>
    </row>
    <row r="469" spans="6:7" ht="12.75">
      <c r="F469" s="97"/>
      <c r="G469" s="65"/>
    </row>
    <row r="470" spans="6:7" ht="12.75">
      <c r="F470" s="97"/>
      <c r="G470" s="65"/>
    </row>
    <row r="471" spans="6:7" ht="12.75">
      <c r="F471" s="97"/>
      <c r="G471" s="65"/>
    </row>
    <row r="472" spans="6:7" ht="12.75">
      <c r="F472" s="97"/>
      <c r="G472" s="65"/>
    </row>
    <row r="473" spans="6:7" ht="12.75">
      <c r="F473" s="97"/>
      <c r="G473" s="65"/>
    </row>
    <row r="474" spans="6:7" ht="12.75">
      <c r="F474" s="97"/>
      <c r="G474" s="65"/>
    </row>
    <row r="475" spans="6:7" ht="12.75">
      <c r="F475" s="97"/>
      <c r="G475" s="65"/>
    </row>
    <row r="476" spans="6:7" ht="12.75">
      <c r="F476" s="97"/>
      <c r="G476" s="65"/>
    </row>
    <row r="477" spans="6:7" ht="12.75">
      <c r="F477" s="97"/>
      <c r="G477" s="65"/>
    </row>
    <row r="478" spans="6:7" ht="12.75">
      <c r="F478" s="97"/>
      <c r="G478" s="65"/>
    </row>
    <row r="479" spans="6:7" ht="12.75">
      <c r="F479" s="97"/>
      <c r="G479" s="65"/>
    </row>
    <row r="480" spans="6:7" ht="12.75">
      <c r="F480" s="97"/>
      <c r="G480" s="65"/>
    </row>
    <row r="481" spans="6:7" ht="12.75">
      <c r="F481" s="97"/>
      <c r="G481" s="65"/>
    </row>
    <row r="482" spans="6:7" ht="12.75">
      <c r="F482" s="97"/>
      <c r="G482" s="65"/>
    </row>
    <row r="483" spans="6:7" ht="12.75">
      <c r="F483" s="97"/>
      <c r="G483" s="65"/>
    </row>
    <row r="484" spans="6:7" ht="12.75">
      <c r="F484" s="97"/>
      <c r="G484" s="65"/>
    </row>
    <row r="485" spans="6:7" ht="12.75">
      <c r="F485" s="97"/>
      <c r="G485" s="65"/>
    </row>
    <row r="486" spans="6:7" ht="12.75">
      <c r="F486" s="97"/>
      <c r="G486" s="65"/>
    </row>
    <row r="487" spans="6:7" ht="12.75">
      <c r="F487" s="97"/>
      <c r="G487" s="65"/>
    </row>
    <row r="488" spans="6:7" ht="12.75">
      <c r="F488" s="97"/>
      <c r="G488" s="65"/>
    </row>
    <row r="489" spans="6:7" ht="12.75">
      <c r="F489" s="97"/>
      <c r="G489" s="65"/>
    </row>
    <row r="490" spans="6:7" ht="12.75">
      <c r="F490" s="97"/>
      <c r="G490" s="65"/>
    </row>
    <row r="491" spans="6:7" ht="12.75">
      <c r="F491" s="97"/>
      <c r="G491" s="65"/>
    </row>
    <row r="492" spans="6:7" ht="12.75">
      <c r="F492" s="97"/>
      <c r="G492" s="65"/>
    </row>
    <row r="493" spans="6:7" ht="12.75">
      <c r="F493" s="97"/>
      <c r="G493" s="65"/>
    </row>
    <row r="494" spans="6:7" ht="12.75">
      <c r="F494" s="97"/>
      <c r="G494" s="65"/>
    </row>
    <row r="495" spans="6:7" ht="12.75">
      <c r="F495" s="97"/>
      <c r="G495" s="65"/>
    </row>
    <row r="496" spans="6:7" ht="12.75">
      <c r="F496" s="97"/>
      <c r="G496" s="65"/>
    </row>
    <row r="497" spans="6:7" ht="12.75">
      <c r="F497" s="97"/>
      <c r="G497" s="65"/>
    </row>
    <row r="498" spans="6:7" ht="12.75">
      <c r="F498" s="97"/>
      <c r="G498" s="65"/>
    </row>
    <row r="499" spans="6:7" ht="12.75">
      <c r="F499" s="97"/>
      <c r="G499" s="65"/>
    </row>
    <row r="500" spans="6:7" ht="12.75">
      <c r="F500" s="97"/>
      <c r="G500" s="65"/>
    </row>
    <row r="501" spans="6:7" ht="12.75">
      <c r="F501" s="97"/>
      <c r="G501" s="65"/>
    </row>
    <row r="502" spans="6:7" ht="12.75">
      <c r="F502" s="97"/>
      <c r="G502" s="65"/>
    </row>
    <row r="503" spans="6:7" ht="12.75">
      <c r="F503" s="97"/>
      <c r="G503" s="65"/>
    </row>
    <row r="504" spans="6:7" ht="12.75">
      <c r="F504" s="97"/>
      <c r="G504" s="65"/>
    </row>
    <row r="505" spans="6:7" ht="12.75">
      <c r="F505" s="97"/>
      <c r="G505" s="65"/>
    </row>
    <row r="506" spans="6:7" ht="12.75">
      <c r="F506" s="97"/>
      <c r="G506" s="65"/>
    </row>
    <row r="507" spans="6:7" ht="12.75">
      <c r="F507" s="97"/>
      <c r="G507" s="65"/>
    </row>
    <row r="508" spans="6:7" ht="12.75">
      <c r="F508" s="97"/>
      <c r="G508" s="65"/>
    </row>
    <row r="509" spans="6:7" ht="12.75">
      <c r="F509" s="97"/>
      <c r="G509" s="65"/>
    </row>
    <row r="510" spans="6:7" ht="12.75">
      <c r="F510" s="97"/>
      <c r="G510" s="65"/>
    </row>
    <row r="511" spans="6:7" ht="12.75">
      <c r="F511" s="97"/>
      <c r="G511" s="65"/>
    </row>
    <row r="512" spans="6:7" ht="12.75">
      <c r="F512" s="97"/>
      <c r="G512" s="65"/>
    </row>
    <row r="513" spans="6:7" ht="12.75">
      <c r="F513" s="97"/>
      <c r="G513" s="65"/>
    </row>
    <row r="514" spans="6:7" ht="12.75">
      <c r="F514" s="97"/>
      <c r="G514" s="65"/>
    </row>
    <row r="515" spans="6:7" ht="12.75">
      <c r="F515" s="97"/>
      <c r="G515" s="65"/>
    </row>
    <row r="516" spans="6:7" ht="12.75">
      <c r="F516" s="97"/>
      <c r="G516" s="65"/>
    </row>
    <row r="517" spans="6:7" ht="12.75">
      <c r="F517" s="97"/>
      <c r="G517" s="65"/>
    </row>
    <row r="518" spans="6:7" ht="12.75">
      <c r="F518" s="97"/>
      <c r="G518" s="65"/>
    </row>
    <row r="519" spans="6:7" ht="12.75">
      <c r="F519" s="97"/>
      <c r="G519" s="65"/>
    </row>
    <row r="520" spans="6:7" ht="12.75">
      <c r="F520" s="97"/>
      <c r="G520" s="65"/>
    </row>
    <row r="521" spans="6:7" ht="12.75">
      <c r="F521" s="97"/>
      <c r="G521" s="65"/>
    </row>
    <row r="522" spans="6:7" ht="12.75">
      <c r="F522" s="97"/>
      <c r="G522" s="65"/>
    </row>
    <row r="523" spans="6:7" ht="12.75">
      <c r="F523" s="97"/>
      <c r="G523" s="65"/>
    </row>
    <row r="524" spans="6:7" ht="12.75">
      <c r="F524" s="97"/>
      <c r="G524" s="65"/>
    </row>
    <row r="525" spans="6:7" ht="12.75">
      <c r="F525" s="97"/>
      <c r="G525" s="65"/>
    </row>
    <row r="526" spans="6:7" ht="12.75">
      <c r="F526" s="97"/>
      <c r="G526" s="65"/>
    </row>
    <row r="527" spans="6:7" ht="12.75">
      <c r="F527" s="97"/>
      <c r="G527" s="65"/>
    </row>
    <row r="528" spans="6:7" ht="12.75">
      <c r="F528" s="97"/>
      <c r="G528" s="65"/>
    </row>
    <row r="529" spans="6:7" ht="12.75">
      <c r="F529" s="97"/>
      <c r="G529" s="65"/>
    </row>
    <row r="530" spans="6:7" ht="12.75">
      <c r="F530" s="97"/>
      <c r="G530" s="65"/>
    </row>
    <row r="531" spans="6:7" ht="12.75">
      <c r="F531" s="97"/>
      <c r="G531" s="65"/>
    </row>
    <row r="532" spans="6:7" ht="12.75">
      <c r="F532" s="97"/>
      <c r="G532" s="65"/>
    </row>
    <row r="533" spans="6:7" ht="12.75">
      <c r="F533" s="97"/>
      <c r="G533" s="65"/>
    </row>
    <row r="534" spans="6:7" ht="12.75">
      <c r="F534" s="97"/>
      <c r="G534" s="65"/>
    </row>
    <row r="535" spans="6:7" ht="12.75">
      <c r="F535" s="97"/>
      <c r="G535" s="65"/>
    </row>
    <row r="536" spans="6:7" ht="12.75">
      <c r="F536" s="97"/>
      <c r="G536" s="65"/>
    </row>
    <row r="537" spans="6:7" ht="12.75">
      <c r="F537" s="97"/>
      <c r="G537" s="65"/>
    </row>
    <row r="538" spans="6:7" ht="12.75">
      <c r="F538" s="97"/>
      <c r="G538" s="65"/>
    </row>
    <row r="539" spans="6:7" ht="12.75">
      <c r="F539" s="97"/>
      <c r="G539" s="65"/>
    </row>
    <row r="540" spans="6:7" ht="12.75">
      <c r="F540" s="97"/>
      <c r="G540" s="65"/>
    </row>
    <row r="541" spans="6:7" ht="12.75">
      <c r="F541" s="97"/>
      <c r="G541" s="65"/>
    </row>
    <row r="542" spans="6:7" ht="12.75">
      <c r="F542" s="97"/>
      <c r="G542" s="65"/>
    </row>
    <row r="543" spans="6:7" ht="12.75">
      <c r="F543" s="97"/>
      <c r="G543" s="65"/>
    </row>
    <row r="544" spans="6:7" ht="12.75">
      <c r="F544" s="97"/>
      <c r="G544" s="65"/>
    </row>
    <row r="545" spans="6:7" ht="12.75">
      <c r="F545" s="97"/>
      <c r="G545" s="65"/>
    </row>
    <row r="546" spans="6:7" ht="12.75">
      <c r="F546" s="97"/>
      <c r="G546" s="65"/>
    </row>
    <row r="547" spans="6:7" ht="12.75">
      <c r="F547" s="97"/>
      <c r="G547" s="65"/>
    </row>
    <row r="548" spans="6:7" ht="12.75">
      <c r="F548" s="97"/>
      <c r="G548" s="65"/>
    </row>
    <row r="549" spans="6:7" ht="12.75">
      <c r="F549" s="97"/>
      <c r="G549" s="65"/>
    </row>
    <row r="550" spans="6:7" ht="12.75">
      <c r="F550" s="97"/>
      <c r="G550" s="65"/>
    </row>
    <row r="551" spans="6:7" ht="12.75">
      <c r="F551" s="97"/>
      <c r="G551" s="65"/>
    </row>
    <row r="552" spans="6:7" ht="12.75">
      <c r="F552" s="97"/>
      <c r="G552" s="65"/>
    </row>
    <row r="553" spans="6:7" ht="12.75">
      <c r="F553" s="97"/>
      <c r="G553" s="65"/>
    </row>
    <row r="554" spans="6:7" ht="12.75">
      <c r="F554" s="97"/>
      <c r="G554" s="65"/>
    </row>
    <row r="555" spans="6:7" ht="12.75">
      <c r="F555" s="97"/>
      <c r="G555" s="65"/>
    </row>
    <row r="556" spans="6:7" ht="12.75">
      <c r="F556" s="97"/>
      <c r="G556" s="65"/>
    </row>
    <row r="557" spans="6:7" ht="12.75">
      <c r="F557" s="97"/>
      <c r="G557" s="65"/>
    </row>
    <row r="558" spans="6:7" ht="12.75">
      <c r="F558" s="97"/>
      <c r="G558" s="65"/>
    </row>
    <row r="559" spans="6:7" ht="12.75">
      <c r="F559" s="97"/>
      <c r="G559" s="65"/>
    </row>
    <row r="560" spans="6:7" ht="12.75">
      <c r="F560" s="97"/>
      <c r="G560" s="65"/>
    </row>
    <row r="561" spans="6:7" ht="12.75">
      <c r="F561" s="97"/>
      <c r="G561" s="65"/>
    </row>
    <row r="562" spans="6:7" ht="12.75">
      <c r="F562" s="97"/>
      <c r="G562" s="65"/>
    </row>
    <row r="563" spans="6:7" ht="12.75">
      <c r="F563" s="97"/>
      <c r="G563" s="65"/>
    </row>
    <row r="564" spans="6:7" ht="12.75">
      <c r="F564" s="97"/>
      <c r="G564" s="65"/>
    </row>
    <row r="565" spans="6:7" ht="12.75">
      <c r="F565" s="97"/>
      <c r="G565" s="65"/>
    </row>
    <row r="566" spans="6:7" ht="12.75">
      <c r="F566" s="97"/>
      <c r="G566" s="65"/>
    </row>
    <row r="567" spans="6:7" ht="12.75">
      <c r="F567" s="97"/>
      <c r="G567" s="65"/>
    </row>
    <row r="568" spans="6:7" ht="12.75">
      <c r="F568" s="97"/>
      <c r="G568" s="65"/>
    </row>
    <row r="569" spans="6:7" ht="12.75">
      <c r="F569" s="97"/>
      <c r="G569" s="65"/>
    </row>
    <row r="570" spans="6:7" ht="12.75">
      <c r="F570" s="97"/>
      <c r="G570" s="65"/>
    </row>
    <row r="571" spans="6:7" ht="12.75">
      <c r="F571" s="97"/>
      <c r="G571" s="65"/>
    </row>
    <row r="572" spans="6:7" ht="12.75">
      <c r="F572" s="97"/>
      <c r="G572" s="65"/>
    </row>
    <row r="573" spans="6:7" ht="12.75">
      <c r="F573" s="97"/>
      <c r="G573" s="65"/>
    </row>
    <row r="574" spans="6:7" ht="12.75">
      <c r="F574" s="97"/>
      <c r="G574" s="65"/>
    </row>
    <row r="575" spans="6:7" ht="12.75">
      <c r="F575" s="97"/>
      <c r="G575" s="65"/>
    </row>
    <row r="576" spans="6:7" ht="12.75">
      <c r="F576" s="97"/>
      <c r="G576" s="65"/>
    </row>
    <row r="577" spans="6:7" ht="12.75">
      <c r="F577" s="97"/>
      <c r="G577" s="65"/>
    </row>
    <row r="578" spans="6:7" ht="12.75">
      <c r="F578" s="97"/>
      <c r="G578" s="65"/>
    </row>
    <row r="579" spans="6:7" ht="12.75">
      <c r="F579" s="97"/>
      <c r="G579" s="65"/>
    </row>
    <row r="580" spans="6:7" ht="12.75">
      <c r="F580" s="97"/>
      <c r="G580" s="65"/>
    </row>
    <row r="581" spans="6:7" ht="12.75">
      <c r="F581" s="97"/>
      <c r="G581" s="65"/>
    </row>
    <row r="582" spans="6:7" ht="12.75">
      <c r="F582" s="97"/>
      <c r="G582" s="65"/>
    </row>
    <row r="583" spans="6:7" ht="12.75">
      <c r="F583" s="97"/>
      <c r="G583" s="65"/>
    </row>
    <row r="584" spans="6:7" ht="12.75">
      <c r="F584" s="97"/>
      <c r="G584" s="65"/>
    </row>
    <row r="585" spans="6:7" ht="12.75">
      <c r="F585" s="97"/>
      <c r="G585" s="65"/>
    </row>
    <row r="586" spans="6:7" ht="12.75">
      <c r="F586" s="97"/>
      <c r="G586" s="65"/>
    </row>
    <row r="587" spans="6:7" ht="12.75">
      <c r="F587" s="97"/>
      <c r="G587" s="65"/>
    </row>
    <row r="588" spans="6:7" ht="12.75">
      <c r="F588" s="97"/>
      <c r="G588" s="65"/>
    </row>
    <row r="589" spans="6:7" ht="12.75">
      <c r="F589" s="97"/>
      <c r="G589" s="65"/>
    </row>
    <row r="590" spans="6:7" ht="12.75">
      <c r="F590" s="97"/>
      <c r="G590" s="65"/>
    </row>
    <row r="591" spans="6:7" ht="12.75">
      <c r="F591" s="97"/>
      <c r="G591" s="65"/>
    </row>
    <row r="592" spans="6:7" ht="12.75">
      <c r="F592" s="97"/>
      <c r="G592" s="65"/>
    </row>
    <row r="593" spans="6:7" ht="12.75">
      <c r="F593" s="97"/>
      <c r="G593" s="65"/>
    </row>
    <row r="594" spans="6:7" ht="12.75">
      <c r="F594" s="97"/>
      <c r="G594" s="65"/>
    </row>
    <row r="595" spans="6:7" ht="12.75">
      <c r="F595" s="97"/>
      <c r="G595" s="65"/>
    </row>
    <row r="596" spans="6:7" ht="12.75">
      <c r="F596" s="97"/>
      <c r="G596" s="65"/>
    </row>
    <row r="597" spans="6:7" ht="12.75">
      <c r="F597" s="97"/>
      <c r="G597" s="65"/>
    </row>
    <row r="598" spans="6:7" ht="12.75">
      <c r="F598" s="97"/>
      <c r="G598" s="65"/>
    </row>
    <row r="599" spans="6:7" ht="12.75">
      <c r="F599" s="97"/>
      <c r="G599" s="65"/>
    </row>
    <row r="600" spans="6:7" ht="12.75">
      <c r="F600" s="97"/>
      <c r="G600" s="65"/>
    </row>
    <row r="601" spans="6:7" ht="12.75">
      <c r="F601" s="97"/>
      <c r="G601" s="65"/>
    </row>
    <row r="602" spans="6:7" ht="12.75">
      <c r="F602" s="97"/>
      <c r="G602" s="65"/>
    </row>
    <row r="603" spans="6:7" ht="12.75">
      <c r="F603" s="97"/>
      <c r="G603" s="65"/>
    </row>
    <row r="604" spans="6:7" ht="12.75">
      <c r="F604" s="97"/>
      <c r="G604" s="65"/>
    </row>
    <row r="605" spans="6:7" ht="12.75">
      <c r="F605" s="97"/>
      <c r="G605" s="65"/>
    </row>
    <row r="606" spans="6:7" ht="12.75">
      <c r="F606" s="97"/>
      <c r="G606" s="65"/>
    </row>
    <row r="607" spans="6:7" ht="12.75">
      <c r="F607" s="97"/>
      <c r="G607" s="65"/>
    </row>
    <row r="608" spans="6:7" ht="12.75">
      <c r="F608" s="97"/>
      <c r="G608" s="65"/>
    </row>
    <row r="609" spans="6:7" ht="12.75">
      <c r="F609" s="97"/>
      <c r="G609" s="65"/>
    </row>
    <row r="610" spans="6:7" ht="12.75">
      <c r="F610" s="97"/>
      <c r="G610" s="65"/>
    </row>
    <row r="611" spans="6:7" ht="12.75">
      <c r="F611" s="97"/>
      <c r="G611" s="65"/>
    </row>
    <row r="612" spans="6:7" ht="12.75">
      <c r="F612" s="97"/>
      <c r="G612" s="65"/>
    </row>
    <row r="613" spans="6:7" ht="12.75">
      <c r="F613" s="97"/>
      <c r="G613" s="65"/>
    </row>
    <row r="614" spans="6:7" ht="12.75">
      <c r="F614" s="97"/>
      <c r="G614" s="65"/>
    </row>
    <row r="615" spans="6:7" ht="12.75">
      <c r="F615" s="97"/>
      <c r="G615" s="65"/>
    </row>
    <row r="616" spans="6:7" ht="12.75">
      <c r="F616" s="97"/>
      <c r="G616" s="65"/>
    </row>
    <row r="617" spans="6:7" ht="12.75">
      <c r="F617" s="97"/>
      <c r="G617" s="65"/>
    </row>
  </sheetData>
  <mergeCells count="8">
    <mergeCell ref="A135:D135"/>
    <mergeCell ref="A6:G6"/>
    <mergeCell ref="A7:G7"/>
    <mergeCell ref="C116:C117"/>
    <mergeCell ref="D116:D117"/>
    <mergeCell ref="E116:E117"/>
    <mergeCell ref="F116:F117"/>
    <mergeCell ref="G116:G117"/>
  </mergeCells>
  <printOptions/>
  <pageMargins left="0.62" right="0.23" top="0.3" bottom="0.4" header="0.25" footer="0.16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="80" zoomScaleNormal="80" workbookViewId="0" topLeftCell="A1">
      <selection activeCell="E30" sqref="E30"/>
    </sheetView>
  </sheetViews>
  <sheetFormatPr defaultColWidth="9.00390625" defaultRowHeight="12.75"/>
  <cols>
    <col min="1" max="1" width="5.00390625" style="91" customWidth="1"/>
    <col min="2" max="2" width="6.75390625" style="91" customWidth="1"/>
    <col min="3" max="3" width="28.875" style="91" customWidth="1"/>
    <col min="4" max="4" width="8.00390625" style="103" hidden="1" customWidth="1"/>
    <col min="5" max="5" width="13.625" style="91" customWidth="1"/>
    <col min="6" max="6" width="11.625" style="91" hidden="1" customWidth="1"/>
    <col min="7" max="7" width="12.125" style="91" hidden="1" customWidth="1"/>
    <col min="8" max="8" width="14.125" style="99" customWidth="1"/>
    <col min="9" max="9" width="8.625" style="91" customWidth="1"/>
    <col min="10" max="10" width="10.875" style="91" customWidth="1"/>
    <col min="11" max="11" width="2.875" style="91" customWidth="1"/>
    <col min="12" max="12" width="11.375" style="91" customWidth="1"/>
    <col min="13" max="13" width="14.375" style="91" customWidth="1"/>
    <col min="14" max="14" width="10.00390625" style="91" hidden="1" customWidth="1"/>
    <col min="15" max="15" width="11.125" style="91" customWidth="1"/>
    <col min="16" max="16" width="12.375" style="91" customWidth="1"/>
    <col min="17" max="17" width="13.00390625" style="91" customWidth="1"/>
    <col min="18" max="16384" width="9.125" style="91" customWidth="1"/>
  </cols>
  <sheetData>
    <row r="1" spans="13:17" ht="16.5" customHeight="1">
      <c r="M1" s="96"/>
      <c r="N1" s="96"/>
      <c r="O1" s="96"/>
      <c r="P1" s="96"/>
      <c r="Q1" s="73" t="s">
        <v>282</v>
      </c>
    </row>
    <row r="2" spans="13:17" ht="15" customHeight="1">
      <c r="M2" s="95"/>
      <c r="N2" s="95"/>
      <c r="O2" s="95"/>
      <c r="P2" s="95"/>
      <c r="Q2" s="95" t="s">
        <v>506</v>
      </c>
    </row>
    <row r="3" spans="13:17" ht="12" customHeight="1">
      <c r="M3" s="95"/>
      <c r="N3" s="95"/>
      <c r="O3" s="95"/>
      <c r="P3" s="95"/>
      <c r="Q3" s="95" t="s">
        <v>507</v>
      </c>
    </row>
    <row r="4" spans="14:16" ht="3.75" customHeight="1">
      <c r="N4" s="36"/>
      <c r="O4" s="36"/>
      <c r="P4" s="58"/>
    </row>
    <row r="5" spans="14:16" ht="1.5" customHeight="1">
      <c r="N5" s="36"/>
      <c r="O5" s="36"/>
      <c r="P5" s="58"/>
    </row>
    <row r="6" spans="14:16" ht="16.5" customHeight="1" hidden="1">
      <c r="N6" s="36"/>
      <c r="O6" s="36"/>
      <c r="P6" s="58"/>
    </row>
    <row r="7" spans="1:17" s="121" customFormat="1" ht="9" customHeight="1">
      <c r="A7" s="510"/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</row>
    <row r="8" spans="1:17" s="121" customFormat="1" ht="17.25" customHeight="1">
      <c r="A8" s="510" t="s">
        <v>24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</row>
    <row r="9" ht="15" customHeight="1">
      <c r="Q9" s="123" t="s">
        <v>170</v>
      </c>
    </row>
    <row r="10" spans="1:17" s="64" customFormat="1" ht="12.75">
      <c r="A10" s="511" t="s">
        <v>107</v>
      </c>
      <c r="B10" s="511" t="s">
        <v>108</v>
      </c>
      <c r="C10" s="511" t="s">
        <v>26</v>
      </c>
      <c r="D10" s="511" t="s">
        <v>253</v>
      </c>
      <c r="E10" s="511" t="s">
        <v>27</v>
      </c>
      <c r="F10" s="511" t="s">
        <v>254</v>
      </c>
      <c r="G10" s="511" t="s">
        <v>255</v>
      </c>
      <c r="H10" s="514" t="s">
        <v>34</v>
      </c>
      <c r="I10" s="499"/>
      <c r="J10" s="499"/>
      <c r="K10" s="499"/>
      <c r="L10" s="499"/>
      <c r="M10" s="499"/>
      <c r="N10" s="499"/>
      <c r="O10" s="499"/>
      <c r="P10" s="499"/>
      <c r="Q10" s="511" t="s">
        <v>256</v>
      </c>
    </row>
    <row r="11" spans="1:17" s="124" customFormat="1" ht="12.75" customHeight="1">
      <c r="A11" s="512"/>
      <c r="B11" s="512"/>
      <c r="C11" s="512"/>
      <c r="D11" s="513"/>
      <c r="E11" s="512"/>
      <c r="F11" s="512"/>
      <c r="G11" s="512"/>
      <c r="H11" s="511" t="s">
        <v>30</v>
      </c>
      <c r="I11" s="511" t="s">
        <v>35</v>
      </c>
      <c r="J11" s="500"/>
      <c r="K11" s="500"/>
      <c r="L11" s="500"/>
      <c r="M11" s="500"/>
      <c r="N11" s="511" t="s">
        <v>257</v>
      </c>
      <c r="O11" s="511" t="s">
        <v>82</v>
      </c>
      <c r="P11" s="511" t="s">
        <v>25</v>
      </c>
      <c r="Q11" s="513"/>
    </row>
    <row r="12" spans="1:17" s="124" customFormat="1" ht="48">
      <c r="A12" s="512"/>
      <c r="B12" s="512"/>
      <c r="C12" s="512"/>
      <c r="D12" s="513"/>
      <c r="E12" s="512"/>
      <c r="F12" s="512"/>
      <c r="G12" s="512"/>
      <c r="H12" s="511"/>
      <c r="I12" s="42" t="s">
        <v>31</v>
      </c>
      <c r="J12" s="42" t="s">
        <v>258</v>
      </c>
      <c r="K12" s="501" t="s">
        <v>32</v>
      </c>
      <c r="L12" s="502"/>
      <c r="M12" s="42" t="s">
        <v>33</v>
      </c>
      <c r="N12" s="511"/>
      <c r="O12" s="511"/>
      <c r="P12" s="511"/>
      <c r="Q12" s="513"/>
    </row>
    <row r="13" spans="1:17" s="124" customFormat="1" ht="12.75">
      <c r="A13" s="168" t="s">
        <v>115</v>
      </c>
      <c r="B13" s="168" t="s">
        <v>116</v>
      </c>
      <c r="C13" s="168" t="s">
        <v>117</v>
      </c>
      <c r="D13" s="168" t="s">
        <v>106</v>
      </c>
      <c r="E13" s="168" t="s">
        <v>106</v>
      </c>
      <c r="F13" s="168" t="s">
        <v>121</v>
      </c>
      <c r="G13" s="168" t="s">
        <v>125</v>
      </c>
      <c r="H13" s="168" t="s">
        <v>121</v>
      </c>
      <c r="I13" s="168" t="s">
        <v>125</v>
      </c>
      <c r="J13" s="168" t="s">
        <v>133</v>
      </c>
      <c r="K13" s="530" t="s">
        <v>142</v>
      </c>
      <c r="L13" s="531"/>
      <c r="M13" s="168" t="s">
        <v>199</v>
      </c>
      <c r="N13" s="168" t="s">
        <v>201</v>
      </c>
      <c r="O13" s="168" t="s">
        <v>201</v>
      </c>
      <c r="P13" s="168" t="s">
        <v>28</v>
      </c>
      <c r="Q13" s="168" t="s">
        <v>29</v>
      </c>
    </row>
    <row r="14" spans="1:17" s="102" customFormat="1" ht="15">
      <c r="A14" s="125">
        <v>600</v>
      </c>
      <c r="B14" s="125">
        <v>60014</v>
      </c>
      <c r="C14" s="61" t="s">
        <v>210</v>
      </c>
      <c r="D14" s="126"/>
      <c r="E14" s="334">
        <f aca="true" t="shared" si="0" ref="E14:J14">SUM(E15:E21)</f>
        <v>26711545</v>
      </c>
      <c r="F14" s="334">
        <f t="shared" si="0"/>
        <v>0</v>
      </c>
      <c r="G14" s="334">
        <f t="shared" si="0"/>
        <v>0</v>
      </c>
      <c r="H14" s="334">
        <f t="shared" si="0"/>
        <v>550692</v>
      </c>
      <c r="I14" s="334">
        <f t="shared" si="0"/>
        <v>0</v>
      </c>
      <c r="J14" s="334">
        <f t="shared" si="0"/>
        <v>511235</v>
      </c>
      <c r="K14" s="523">
        <f>SUM(K15:L20)</f>
        <v>39457</v>
      </c>
      <c r="L14" s="524"/>
      <c r="M14" s="334">
        <f>SUM(M15:M20)</f>
        <v>0</v>
      </c>
      <c r="N14" s="334">
        <f>SUM(N15:N20)</f>
        <v>0</v>
      </c>
      <c r="O14" s="334">
        <f>SUM(O15:O21)</f>
        <v>5617730</v>
      </c>
      <c r="P14" s="334">
        <f>SUM(P15:P21)</f>
        <v>5415700</v>
      </c>
      <c r="Q14" s="61"/>
    </row>
    <row r="15" spans="1:17" s="102" customFormat="1" ht="14.25" customHeight="1">
      <c r="A15" s="460"/>
      <c r="B15" s="463"/>
      <c r="C15" s="519" t="s">
        <v>364</v>
      </c>
      <c r="D15" s="528"/>
      <c r="E15" s="525">
        <f>938441+39457-9000-5000</f>
        <v>963898</v>
      </c>
      <c r="F15" s="525"/>
      <c r="G15" s="525"/>
      <c r="H15" s="525">
        <f>SUM(I15:L17)</f>
        <v>255457</v>
      </c>
      <c r="I15" s="525">
        <v>0</v>
      </c>
      <c r="J15" s="554">
        <f>230000-9000-5000</f>
        <v>216000</v>
      </c>
      <c r="K15" s="497">
        <v>39457</v>
      </c>
      <c r="L15" s="498"/>
      <c r="M15" s="516">
        <v>0</v>
      </c>
      <c r="N15" s="525"/>
      <c r="O15" s="525">
        <v>0</v>
      </c>
      <c r="P15" s="525">
        <v>0</v>
      </c>
      <c r="Q15" s="528" t="s">
        <v>194</v>
      </c>
    </row>
    <row r="16" spans="1:17" s="102" customFormat="1" ht="12.75" customHeight="1">
      <c r="A16" s="461"/>
      <c r="B16" s="127"/>
      <c r="C16" s="520"/>
      <c r="D16" s="529"/>
      <c r="E16" s="526"/>
      <c r="F16" s="526"/>
      <c r="G16" s="526"/>
      <c r="H16" s="526"/>
      <c r="I16" s="526"/>
      <c r="J16" s="555"/>
      <c r="K16" s="548"/>
      <c r="L16" s="549"/>
      <c r="M16" s="517"/>
      <c r="N16" s="526"/>
      <c r="O16" s="526"/>
      <c r="P16" s="526"/>
      <c r="Q16" s="529"/>
    </row>
    <row r="17" spans="1:17" s="102" customFormat="1" ht="6" customHeight="1">
      <c r="A17" s="461"/>
      <c r="B17" s="127"/>
      <c r="C17" s="521"/>
      <c r="D17" s="522"/>
      <c r="E17" s="515"/>
      <c r="F17" s="515"/>
      <c r="G17" s="515"/>
      <c r="H17" s="515"/>
      <c r="I17" s="515"/>
      <c r="J17" s="556"/>
      <c r="K17" s="550"/>
      <c r="L17" s="551"/>
      <c r="M17" s="518"/>
      <c r="N17" s="515"/>
      <c r="O17" s="515"/>
      <c r="P17" s="515"/>
      <c r="Q17" s="529"/>
    </row>
    <row r="18" spans="1:17" s="102" customFormat="1" ht="18.75" customHeight="1">
      <c r="A18" s="461"/>
      <c r="B18" s="127"/>
      <c r="C18" s="519" t="s">
        <v>486</v>
      </c>
      <c r="D18" s="528"/>
      <c r="E18" s="525">
        <v>15067412</v>
      </c>
      <c r="F18" s="525"/>
      <c r="G18" s="525"/>
      <c r="H18" s="525">
        <v>260000</v>
      </c>
      <c r="I18" s="525">
        <v>0</v>
      </c>
      <c r="J18" s="554">
        <v>260000</v>
      </c>
      <c r="K18" s="497">
        <v>0</v>
      </c>
      <c r="L18" s="498"/>
      <c r="M18" s="516">
        <v>0</v>
      </c>
      <c r="N18" s="525"/>
      <c r="O18" s="525">
        <v>388430</v>
      </c>
      <c r="P18" s="525">
        <v>0</v>
      </c>
      <c r="Q18" s="529"/>
    </row>
    <row r="19" spans="1:17" s="102" customFormat="1" ht="18.75" customHeight="1">
      <c r="A19" s="461"/>
      <c r="B19" s="127"/>
      <c r="C19" s="520"/>
      <c r="D19" s="529"/>
      <c r="E19" s="526"/>
      <c r="F19" s="526"/>
      <c r="G19" s="526"/>
      <c r="H19" s="526"/>
      <c r="I19" s="526"/>
      <c r="J19" s="555"/>
      <c r="K19" s="548"/>
      <c r="L19" s="549"/>
      <c r="M19" s="517"/>
      <c r="N19" s="526"/>
      <c r="O19" s="526"/>
      <c r="P19" s="526"/>
      <c r="Q19" s="529"/>
    </row>
    <row r="20" spans="1:17" s="102" customFormat="1" ht="18.75" customHeight="1">
      <c r="A20" s="461"/>
      <c r="B20" s="127"/>
      <c r="C20" s="521"/>
      <c r="D20" s="522"/>
      <c r="E20" s="515"/>
      <c r="F20" s="515"/>
      <c r="G20" s="515"/>
      <c r="H20" s="515"/>
      <c r="I20" s="515"/>
      <c r="J20" s="556"/>
      <c r="K20" s="550"/>
      <c r="L20" s="551"/>
      <c r="M20" s="518"/>
      <c r="N20" s="515"/>
      <c r="O20" s="515"/>
      <c r="P20" s="515"/>
      <c r="Q20" s="529"/>
    </row>
    <row r="21" spans="1:17" s="102" customFormat="1" ht="54.75" customHeight="1">
      <c r="A21" s="462"/>
      <c r="B21" s="464"/>
      <c r="C21" s="458" t="s">
        <v>487</v>
      </c>
      <c r="D21" s="459"/>
      <c r="E21" s="479">
        <f>10680136+99</f>
        <v>10680235</v>
      </c>
      <c r="F21" s="469"/>
      <c r="G21" s="469"/>
      <c r="H21" s="480">
        <f>35136+99</f>
        <v>35235</v>
      </c>
      <c r="I21" s="480">
        <v>0</v>
      </c>
      <c r="J21" s="475">
        <f>35136+99</f>
        <v>35235</v>
      </c>
      <c r="K21" s="552">
        <v>0</v>
      </c>
      <c r="L21" s="553"/>
      <c r="M21" s="476">
        <v>0</v>
      </c>
      <c r="N21" s="480"/>
      <c r="O21" s="480">
        <v>5229300</v>
      </c>
      <c r="P21" s="480">
        <v>5415700</v>
      </c>
      <c r="Q21" s="529"/>
    </row>
    <row r="22" spans="1:17" s="191" customFormat="1" ht="22.5" customHeight="1">
      <c r="A22" s="506" t="s">
        <v>83</v>
      </c>
      <c r="B22" s="507"/>
      <c r="C22" s="507"/>
      <c r="D22" s="508"/>
      <c r="E22" s="335">
        <f aca="true" t="shared" si="1" ref="E22:K22">SUM(E14)</f>
        <v>26711545</v>
      </c>
      <c r="F22" s="335">
        <f t="shared" si="1"/>
        <v>0</v>
      </c>
      <c r="G22" s="335">
        <f t="shared" si="1"/>
        <v>0</v>
      </c>
      <c r="H22" s="335">
        <f t="shared" si="1"/>
        <v>550692</v>
      </c>
      <c r="I22" s="336">
        <f t="shared" si="1"/>
        <v>0</v>
      </c>
      <c r="J22" s="336">
        <f t="shared" si="1"/>
        <v>511235</v>
      </c>
      <c r="K22" s="509">
        <f t="shared" si="1"/>
        <v>39457</v>
      </c>
      <c r="L22" s="496"/>
      <c r="M22" s="336">
        <f>SUM(M14)</f>
        <v>0</v>
      </c>
      <c r="N22" s="336">
        <f>SUM(N14)</f>
        <v>0</v>
      </c>
      <c r="O22" s="336">
        <f>SUM(O14)</f>
        <v>5617730</v>
      </c>
      <c r="P22" s="336">
        <f>SUM(P14)</f>
        <v>5415700</v>
      </c>
      <c r="Q22" s="190" t="s">
        <v>281</v>
      </c>
    </row>
    <row r="23" spans="1:17" ht="26.25" customHeight="1">
      <c r="A23" s="503" t="s">
        <v>48</v>
      </c>
      <c r="B23" s="504"/>
      <c r="C23" s="504"/>
      <c r="D23" s="505"/>
      <c r="E23" s="335">
        <f aca="true" t="shared" si="2" ref="E23:J23">SUM(E22)</f>
        <v>26711545</v>
      </c>
      <c r="F23" s="335">
        <f t="shared" si="2"/>
        <v>0</v>
      </c>
      <c r="G23" s="335">
        <f t="shared" si="2"/>
        <v>0</v>
      </c>
      <c r="H23" s="335">
        <f t="shared" si="2"/>
        <v>550692</v>
      </c>
      <c r="I23" s="335">
        <f t="shared" si="2"/>
        <v>0</v>
      </c>
      <c r="J23" s="335">
        <f t="shared" si="2"/>
        <v>511235</v>
      </c>
      <c r="K23" s="509">
        <f>SUM(K22)</f>
        <v>39457</v>
      </c>
      <c r="L23" s="496"/>
      <c r="M23" s="335">
        <f>SUM(M22)</f>
        <v>0</v>
      </c>
      <c r="N23" s="335">
        <f>SUM(N22)</f>
        <v>0</v>
      </c>
      <c r="O23" s="335">
        <f>SUM(O22)</f>
        <v>5617730</v>
      </c>
      <c r="P23" s="335">
        <f>SUM(P22)</f>
        <v>5415700</v>
      </c>
      <c r="Q23" s="190" t="s">
        <v>281</v>
      </c>
    </row>
  </sheetData>
  <mergeCells count="51">
    <mergeCell ref="K21:L21"/>
    <mergeCell ref="G15:G17"/>
    <mergeCell ref="H15:H17"/>
    <mergeCell ref="I15:I17"/>
    <mergeCell ref="I18:I20"/>
    <mergeCell ref="J18:J20"/>
    <mergeCell ref="K15:L17"/>
    <mergeCell ref="G18:G20"/>
    <mergeCell ref="H18:H20"/>
    <mergeCell ref="J15:J17"/>
    <mergeCell ref="A23:D23"/>
    <mergeCell ref="A22:D22"/>
    <mergeCell ref="N18:N20"/>
    <mergeCell ref="C18:C20"/>
    <mergeCell ref="D18:D20"/>
    <mergeCell ref="E18:E20"/>
    <mergeCell ref="F18:F20"/>
    <mergeCell ref="K23:L23"/>
    <mergeCell ref="K18:L20"/>
    <mergeCell ref="K22:L22"/>
    <mergeCell ref="Q10:Q12"/>
    <mergeCell ref="H11:H12"/>
    <mergeCell ref="I11:M11"/>
    <mergeCell ref="N11:N12"/>
    <mergeCell ref="O11:O12"/>
    <mergeCell ref="P11:P12"/>
    <mergeCell ref="K12:L12"/>
    <mergeCell ref="A7:Q7"/>
    <mergeCell ref="A8:Q8"/>
    <mergeCell ref="A10:A12"/>
    <mergeCell ref="B10:B12"/>
    <mergeCell ref="C10:C12"/>
    <mergeCell ref="D10:D12"/>
    <mergeCell ref="E10:E12"/>
    <mergeCell ref="F10:F12"/>
    <mergeCell ref="G10:G12"/>
    <mergeCell ref="H10:P10"/>
    <mergeCell ref="C15:C17"/>
    <mergeCell ref="D15:D17"/>
    <mergeCell ref="E15:E17"/>
    <mergeCell ref="F15:F17"/>
    <mergeCell ref="Q15:Q21"/>
    <mergeCell ref="K13:L13"/>
    <mergeCell ref="K14:L14"/>
    <mergeCell ref="O15:O17"/>
    <mergeCell ref="P15:P17"/>
    <mergeCell ref="O18:O20"/>
    <mergeCell ref="P18:P20"/>
    <mergeCell ref="N15:N17"/>
    <mergeCell ref="M15:M17"/>
    <mergeCell ref="M18:M20"/>
  </mergeCells>
  <printOptions/>
  <pageMargins left="0.47" right="0.16" top="1.34" bottom="0.7" header="0.16" footer="0.41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1">
      <pane ySplit="1980" topLeftCell="BM1" activePane="bottomLeft" state="split"/>
      <selection pane="topLeft" activeCell="K13" sqref="K13:L13"/>
      <selection pane="bottomLeft" activeCell="H23" sqref="H23:H25"/>
    </sheetView>
  </sheetViews>
  <sheetFormatPr defaultColWidth="9.00390625" defaultRowHeight="12.75"/>
  <cols>
    <col min="1" max="1" width="5.00390625" style="91" customWidth="1"/>
    <col min="2" max="2" width="6.75390625" style="91" customWidth="1"/>
    <col min="3" max="3" width="31.00390625" style="91" customWidth="1"/>
    <col min="4" max="4" width="8.00390625" style="103" hidden="1" customWidth="1"/>
    <col min="5" max="5" width="10.75390625" style="91" customWidth="1"/>
    <col min="6" max="6" width="11.625" style="91" hidden="1" customWidth="1"/>
    <col min="7" max="7" width="12.125" style="91" hidden="1" customWidth="1"/>
    <col min="8" max="8" width="10.25390625" style="99" customWidth="1"/>
    <col min="9" max="9" width="8.625" style="91" customWidth="1"/>
    <col min="10" max="10" width="9.625" style="91" customWidth="1"/>
    <col min="11" max="11" width="2.875" style="91" customWidth="1"/>
    <col min="12" max="12" width="11.375" style="91" customWidth="1"/>
    <col min="13" max="13" width="14.375" style="91" customWidth="1"/>
    <col min="14" max="14" width="10.00390625" style="91" hidden="1" customWidth="1"/>
    <col min="15" max="15" width="16.375" style="91" customWidth="1"/>
    <col min="16" max="16384" width="9.125" style="91" customWidth="1"/>
  </cols>
  <sheetData>
    <row r="1" spans="13:15" ht="18.75" customHeight="1">
      <c r="M1" s="96"/>
      <c r="N1" s="96"/>
      <c r="O1" s="73" t="s">
        <v>472</v>
      </c>
    </row>
    <row r="2" spans="13:15" ht="14.25" customHeight="1">
      <c r="M2" s="95"/>
      <c r="N2" s="95"/>
      <c r="O2" s="95" t="s">
        <v>506</v>
      </c>
    </row>
    <row r="3" spans="13:15" ht="12" customHeight="1">
      <c r="M3" s="95"/>
      <c r="N3" s="95"/>
      <c r="O3" s="95" t="s">
        <v>507</v>
      </c>
    </row>
    <row r="4" ht="3.75" customHeight="1">
      <c r="N4" s="36"/>
    </row>
    <row r="5" ht="1.5" customHeight="1">
      <c r="N5" s="36"/>
    </row>
    <row r="6" ht="16.5" customHeight="1" hidden="1">
      <c r="N6" s="36"/>
    </row>
    <row r="7" spans="1:15" s="121" customFormat="1" ht="17.25" customHeight="1">
      <c r="A7" s="510" t="s">
        <v>36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</row>
    <row r="8" ht="13.5" customHeight="1">
      <c r="O8" s="123" t="s">
        <v>170</v>
      </c>
    </row>
    <row r="9" spans="1:15" s="64" customFormat="1" ht="12.75">
      <c r="A9" s="511" t="s">
        <v>107</v>
      </c>
      <c r="B9" s="511" t="s">
        <v>108</v>
      </c>
      <c r="C9" s="511" t="s">
        <v>26</v>
      </c>
      <c r="D9" s="511" t="s">
        <v>253</v>
      </c>
      <c r="E9" s="511" t="s">
        <v>27</v>
      </c>
      <c r="F9" s="511" t="s">
        <v>254</v>
      </c>
      <c r="G9" s="511" t="s">
        <v>255</v>
      </c>
      <c r="H9" s="514" t="s">
        <v>34</v>
      </c>
      <c r="I9" s="499"/>
      <c r="J9" s="499"/>
      <c r="K9" s="499"/>
      <c r="L9" s="499"/>
      <c r="M9" s="499"/>
      <c r="N9" s="499"/>
      <c r="O9" s="511" t="s">
        <v>256</v>
      </c>
    </row>
    <row r="10" spans="1:15" s="124" customFormat="1" ht="12.75" customHeight="1">
      <c r="A10" s="512"/>
      <c r="B10" s="512"/>
      <c r="C10" s="512"/>
      <c r="D10" s="513"/>
      <c r="E10" s="512"/>
      <c r="F10" s="512"/>
      <c r="G10" s="512"/>
      <c r="H10" s="511" t="s">
        <v>30</v>
      </c>
      <c r="I10" s="511" t="s">
        <v>35</v>
      </c>
      <c r="J10" s="500"/>
      <c r="K10" s="500"/>
      <c r="L10" s="500"/>
      <c r="M10" s="500"/>
      <c r="N10" s="511" t="s">
        <v>257</v>
      </c>
      <c r="O10" s="513"/>
    </row>
    <row r="11" spans="1:15" s="124" customFormat="1" ht="48">
      <c r="A11" s="512"/>
      <c r="B11" s="512"/>
      <c r="C11" s="512"/>
      <c r="D11" s="513"/>
      <c r="E11" s="512"/>
      <c r="F11" s="512"/>
      <c r="G11" s="512"/>
      <c r="H11" s="511"/>
      <c r="I11" s="42" t="s">
        <v>31</v>
      </c>
      <c r="J11" s="42" t="s">
        <v>258</v>
      </c>
      <c r="K11" s="501" t="s">
        <v>362</v>
      </c>
      <c r="L11" s="502"/>
      <c r="M11" s="42" t="s">
        <v>33</v>
      </c>
      <c r="N11" s="511"/>
      <c r="O11" s="513"/>
    </row>
    <row r="12" spans="1:15" s="124" customFormat="1" ht="12.75">
      <c r="A12" s="168" t="s">
        <v>115</v>
      </c>
      <c r="B12" s="168" t="s">
        <v>116</v>
      </c>
      <c r="C12" s="168" t="s">
        <v>117</v>
      </c>
      <c r="D12" s="168" t="s">
        <v>106</v>
      </c>
      <c r="E12" s="168" t="s">
        <v>106</v>
      </c>
      <c r="F12" s="168" t="s">
        <v>121</v>
      </c>
      <c r="G12" s="168" t="s">
        <v>125</v>
      </c>
      <c r="H12" s="168" t="s">
        <v>121</v>
      </c>
      <c r="I12" s="168" t="s">
        <v>125</v>
      </c>
      <c r="J12" s="168" t="s">
        <v>133</v>
      </c>
      <c r="K12" s="530" t="s">
        <v>142</v>
      </c>
      <c r="L12" s="531"/>
      <c r="M12" s="168" t="s">
        <v>199</v>
      </c>
      <c r="N12" s="168" t="s">
        <v>201</v>
      </c>
      <c r="O12" s="168" t="s">
        <v>29</v>
      </c>
    </row>
    <row r="13" spans="1:15" s="102" customFormat="1" ht="12.75">
      <c r="A13" s="125">
        <v>600</v>
      </c>
      <c r="B13" s="125">
        <v>60014</v>
      </c>
      <c r="C13" s="61" t="s">
        <v>210</v>
      </c>
      <c r="D13" s="126"/>
      <c r="E13" s="213">
        <f>SUM(E14:E26)</f>
        <v>473814</v>
      </c>
      <c r="F13" s="213">
        <f>SUM(F14:F26)</f>
        <v>0</v>
      </c>
      <c r="G13" s="213">
        <f>SUM(G14:G26)</f>
        <v>0</v>
      </c>
      <c r="H13" s="213">
        <f>SUM(H14:H26)</f>
        <v>473814</v>
      </c>
      <c r="I13" s="213">
        <f>SUM(I14:I25)</f>
        <v>0</v>
      </c>
      <c r="J13" s="213">
        <f>SUM(J14:J26)</f>
        <v>423814</v>
      </c>
      <c r="K13" s="558">
        <f>SUM(K20)</f>
        <v>50000</v>
      </c>
      <c r="L13" s="559"/>
      <c r="M13" s="213">
        <f>SUM(M14:M25)</f>
        <v>0</v>
      </c>
      <c r="N13" s="213">
        <f>SUM(N14:N25)</f>
        <v>0</v>
      </c>
      <c r="O13" s="61"/>
    </row>
    <row r="14" spans="1:15" s="102" customFormat="1" ht="12" customHeight="1">
      <c r="A14" s="272"/>
      <c r="B14" s="127"/>
      <c r="C14" s="572" t="s">
        <v>522</v>
      </c>
      <c r="D14" s="528"/>
      <c r="E14" s="568">
        <f>100000+30540</f>
        <v>130540</v>
      </c>
      <c r="F14" s="568"/>
      <c r="G14" s="568"/>
      <c r="H14" s="568">
        <f>100000+30540</f>
        <v>130540</v>
      </c>
      <c r="I14" s="568">
        <v>0</v>
      </c>
      <c r="J14" s="568">
        <f>100000+30540</f>
        <v>130540</v>
      </c>
      <c r="K14" s="562">
        <v>0</v>
      </c>
      <c r="L14" s="563"/>
      <c r="M14" s="568">
        <v>0</v>
      </c>
      <c r="N14" s="568"/>
      <c r="O14" s="528" t="s">
        <v>259</v>
      </c>
    </row>
    <row r="15" spans="1:15" s="102" customFormat="1" ht="12" customHeight="1">
      <c r="A15" s="272"/>
      <c r="B15" s="127"/>
      <c r="C15" s="573"/>
      <c r="D15" s="529"/>
      <c r="E15" s="569"/>
      <c r="F15" s="569"/>
      <c r="G15" s="569"/>
      <c r="H15" s="569"/>
      <c r="I15" s="569"/>
      <c r="J15" s="569"/>
      <c r="K15" s="564"/>
      <c r="L15" s="565"/>
      <c r="M15" s="569"/>
      <c r="N15" s="569"/>
      <c r="O15" s="529"/>
    </row>
    <row r="16" spans="1:15" s="102" customFormat="1" ht="7.5" customHeight="1">
      <c r="A16" s="272"/>
      <c r="B16" s="127"/>
      <c r="C16" s="521"/>
      <c r="D16" s="522"/>
      <c r="E16" s="570"/>
      <c r="F16" s="570"/>
      <c r="G16" s="570"/>
      <c r="H16" s="570"/>
      <c r="I16" s="570"/>
      <c r="J16" s="570"/>
      <c r="K16" s="566"/>
      <c r="L16" s="567"/>
      <c r="M16" s="575"/>
      <c r="N16" s="570"/>
      <c r="O16" s="529"/>
    </row>
    <row r="17" spans="1:15" s="102" customFormat="1" ht="11.25" customHeight="1">
      <c r="A17" s="272"/>
      <c r="B17" s="127"/>
      <c r="C17" s="572" t="s">
        <v>349</v>
      </c>
      <c r="D17" s="528"/>
      <c r="E17" s="568">
        <f>30000-720+5000</f>
        <v>34280</v>
      </c>
      <c r="F17" s="568"/>
      <c r="G17" s="568"/>
      <c r="H17" s="568">
        <f>30000-720+5000</f>
        <v>34280</v>
      </c>
      <c r="I17" s="568">
        <v>0</v>
      </c>
      <c r="J17" s="568">
        <f>30000-720+5000</f>
        <v>34280</v>
      </c>
      <c r="K17" s="562">
        <v>0</v>
      </c>
      <c r="L17" s="563"/>
      <c r="M17" s="568">
        <v>0</v>
      </c>
      <c r="N17" s="568"/>
      <c r="O17" s="529"/>
    </row>
    <row r="18" spans="1:15" s="102" customFormat="1" ht="11.25" customHeight="1">
      <c r="A18" s="272"/>
      <c r="B18" s="127"/>
      <c r="C18" s="573"/>
      <c r="D18" s="529"/>
      <c r="E18" s="569"/>
      <c r="F18" s="569"/>
      <c r="G18" s="569"/>
      <c r="H18" s="569"/>
      <c r="I18" s="569"/>
      <c r="J18" s="569"/>
      <c r="K18" s="564"/>
      <c r="L18" s="565"/>
      <c r="M18" s="569"/>
      <c r="N18" s="569"/>
      <c r="O18" s="529"/>
    </row>
    <row r="19" spans="1:15" s="102" customFormat="1" ht="6" customHeight="1">
      <c r="A19" s="272"/>
      <c r="B19" s="127"/>
      <c r="C19" s="521"/>
      <c r="D19" s="522"/>
      <c r="E19" s="570"/>
      <c r="F19" s="570"/>
      <c r="G19" s="570"/>
      <c r="H19" s="570"/>
      <c r="I19" s="570"/>
      <c r="J19" s="570"/>
      <c r="K19" s="566"/>
      <c r="L19" s="567"/>
      <c r="M19" s="571"/>
      <c r="N19" s="570"/>
      <c r="O19" s="529"/>
    </row>
    <row r="20" spans="1:15" s="102" customFormat="1" ht="16.5" customHeight="1">
      <c r="A20" s="272"/>
      <c r="B20" s="127"/>
      <c r="C20" s="572" t="s">
        <v>350</v>
      </c>
      <c r="D20" s="528"/>
      <c r="E20" s="568">
        <f>75000+9000+50000</f>
        <v>134000</v>
      </c>
      <c r="F20" s="568"/>
      <c r="G20" s="568"/>
      <c r="H20" s="568">
        <f>SUM(I20:L22)</f>
        <v>134000</v>
      </c>
      <c r="I20" s="568">
        <v>0</v>
      </c>
      <c r="J20" s="568">
        <f>75000+9000</f>
        <v>84000</v>
      </c>
      <c r="K20" s="562">
        <v>50000</v>
      </c>
      <c r="L20" s="563"/>
      <c r="M20" s="568">
        <v>0</v>
      </c>
      <c r="N20" s="568"/>
      <c r="O20" s="529"/>
    </row>
    <row r="21" spans="1:15" s="102" customFormat="1" ht="15.75" customHeight="1">
      <c r="A21" s="272"/>
      <c r="B21" s="127"/>
      <c r="C21" s="573"/>
      <c r="D21" s="529"/>
      <c r="E21" s="569"/>
      <c r="F21" s="569"/>
      <c r="G21" s="569"/>
      <c r="H21" s="569"/>
      <c r="I21" s="569"/>
      <c r="J21" s="569"/>
      <c r="K21" s="564"/>
      <c r="L21" s="565"/>
      <c r="M21" s="569"/>
      <c r="N21" s="569"/>
      <c r="O21" s="529"/>
    </row>
    <row r="22" spans="1:15" s="102" customFormat="1" ht="7.5" customHeight="1">
      <c r="A22" s="272"/>
      <c r="B22" s="127"/>
      <c r="C22" s="574"/>
      <c r="D22" s="522"/>
      <c r="E22" s="570"/>
      <c r="F22" s="570"/>
      <c r="G22" s="570"/>
      <c r="H22" s="570"/>
      <c r="I22" s="570"/>
      <c r="J22" s="570"/>
      <c r="K22" s="566"/>
      <c r="L22" s="567"/>
      <c r="M22" s="571"/>
      <c r="N22" s="570"/>
      <c r="O22" s="529"/>
    </row>
    <row r="23" spans="1:15" s="102" customFormat="1" ht="12.75">
      <c r="A23" s="272"/>
      <c r="B23" s="127"/>
      <c r="C23" s="572" t="s">
        <v>351</v>
      </c>
      <c r="D23" s="528"/>
      <c r="E23" s="568">
        <v>167994</v>
      </c>
      <c r="F23" s="568"/>
      <c r="G23" s="568"/>
      <c r="H23" s="568">
        <f>200000-32006</f>
        <v>167994</v>
      </c>
      <c r="I23" s="568">
        <v>0</v>
      </c>
      <c r="J23" s="568">
        <f>200000-32006</f>
        <v>167994</v>
      </c>
      <c r="K23" s="562">
        <v>0</v>
      </c>
      <c r="L23" s="563"/>
      <c r="M23" s="568">
        <v>0</v>
      </c>
      <c r="N23" s="568"/>
      <c r="O23" s="529"/>
    </row>
    <row r="24" spans="1:15" s="102" customFormat="1" ht="12.75">
      <c r="A24" s="272"/>
      <c r="B24" s="127"/>
      <c r="C24" s="573"/>
      <c r="D24" s="529"/>
      <c r="E24" s="569"/>
      <c r="F24" s="569"/>
      <c r="G24" s="569"/>
      <c r="H24" s="569"/>
      <c r="I24" s="569"/>
      <c r="J24" s="569"/>
      <c r="K24" s="564"/>
      <c r="L24" s="565"/>
      <c r="M24" s="569"/>
      <c r="N24" s="569"/>
      <c r="O24" s="529"/>
    </row>
    <row r="25" spans="1:15" s="102" customFormat="1" ht="9.75" customHeight="1">
      <c r="A25" s="272"/>
      <c r="B25" s="127"/>
      <c r="C25" s="521"/>
      <c r="D25" s="522"/>
      <c r="E25" s="570"/>
      <c r="F25" s="570"/>
      <c r="G25" s="570"/>
      <c r="H25" s="570"/>
      <c r="I25" s="570"/>
      <c r="J25" s="570"/>
      <c r="K25" s="566"/>
      <c r="L25" s="567"/>
      <c r="M25" s="571"/>
      <c r="N25" s="570"/>
      <c r="O25" s="522"/>
    </row>
    <row r="26" spans="1:15" s="102" customFormat="1" ht="13.5" customHeight="1">
      <c r="A26" s="272"/>
      <c r="B26" s="127"/>
      <c r="C26" s="472" t="s">
        <v>498</v>
      </c>
      <c r="D26" s="263"/>
      <c r="E26" s="471">
        <v>7000</v>
      </c>
      <c r="F26" s="471"/>
      <c r="G26" s="471"/>
      <c r="H26" s="471">
        <v>7000</v>
      </c>
      <c r="I26" s="471">
        <v>0</v>
      </c>
      <c r="J26" s="471">
        <v>7000</v>
      </c>
      <c r="K26" s="473"/>
      <c r="L26" s="474"/>
      <c r="M26" s="470"/>
      <c r="N26" s="471"/>
      <c r="O26" s="263"/>
    </row>
    <row r="27" spans="1:15" s="152" customFormat="1" ht="12.75">
      <c r="A27" s="114">
        <v>750</v>
      </c>
      <c r="B27" s="114">
        <v>75020</v>
      </c>
      <c r="C27" s="189" t="s">
        <v>224</v>
      </c>
      <c r="D27" s="126"/>
      <c r="E27" s="213">
        <f>SUM(E28:E33)</f>
        <v>344011</v>
      </c>
      <c r="F27" s="213">
        <f>SUM(F28:F32)</f>
        <v>0</v>
      </c>
      <c r="G27" s="213">
        <f>SUM(G28:G32)</f>
        <v>0</v>
      </c>
      <c r="H27" s="213">
        <f>SUM(H28:H33)</f>
        <v>344011</v>
      </c>
      <c r="I27" s="213">
        <f>SUM(I28:I33)</f>
        <v>94011</v>
      </c>
      <c r="J27" s="213">
        <f>SUM(J28:J32)</f>
        <v>250000</v>
      </c>
      <c r="K27" s="558">
        <v>0</v>
      </c>
      <c r="L27" s="559"/>
      <c r="M27" s="213">
        <f>SUM(M28:M30)</f>
        <v>0</v>
      </c>
      <c r="N27" s="213">
        <f>SUM(N28:N30)</f>
        <v>0</v>
      </c>
      <c r="O27" s="126"/>
    </row>
    <row r="28" spans="1:15" s="124" customFormat="1" ht="23.25" customHeight="1">
      <c r="A28" s="491"/>
      <c r="B28" s="487"/>
      <c r="C28" s="270" t="s">
        <v>353</v>
      </c>
      <c r="D28" s="122"/>
      <c r="E28" s="214">
        <f>46968-16563</f>
        <v>30405</v>
      </c>
      <c r="F28" s="214"/>
      <c r="G28" s="214"/>
      <c r="H28" s="214">
        <v>30405</v>
      </c>
      <c r="I28" s="214">
        <v>30405</v>
      </c>
      <c r="J28" s="214">
        <v>0</v>
      </c>
      <c r="K28" s="560">
        <v>0</v>
      </c>
      <c r="L28" s="561"/>
      <c r="M28" s="273">
        <v>0</v>
      </c>
      <c r="N28" s="214"/>
      <c r="O28" s="528" t="s">
        <v>276</v>
      </c>
    </row>
    <row r="29" spans="1:15" s="124" customFormat="1" ht="15" customHeight="1">
      <c r="A29" s="271"/>
      <c r="B29" s="116"/>
      <c r="C29" s="270" t="s">
        <v>357</v>
      </c>
      <c r="D29" s="122"/>
      <c r="E29" s="214">
        <f>35000-13894</f>
        <v>21106</v>
      </c>
      <c r="F29" s="214"/>
      <c r="G29" s="214"/>
      <c r="H29" s="214">
        <v>21106</v>
      </c>
      <c r="I29" s="214">
        <v>21106</v>
      </c>
      <c r="J29" s="214">
        <v>0</v>
      </c>
      <c r="K29" s="560">
        <v>0</v>
      </c>
      <c r="L29" s="561"/>
      <c r="M29" s="273">
        <v>0</v>
      </c>
      <c r="N29" s="214"/>
      <c r="O29" s="529"/>
    </row>
    <row r="30" spans="1:15" s="124" customFormat="1" ht="22.5" customHeight="1">
      <c r="A30" s="271"/>
      <c r="B30" s="116"/>
      <c r="C30" s="270" t="s">
        <v>354</v>
      </c>
      <c r="D30" s="122"/>
      <c r="E30" s="214">
        <v>5000</v>
      </c>
      <c r="F30" s="214"/>
      <c r="G30" s="214"/>
      <c r="H30" s="214">
        <v>5000</v>
      </c>
      <c r="I30" s="214">
        <v>5000</v>
      </c>
      <c r="J30" s="214">
        <v>0</v>
      </c>
      <c r="K30" s="560">
        <v>0</v>
      </c>
      <c r="L30" s="561"/>
      <c r="M30" s="273">
        <v>0</v>
      </c>
      <c r="N30" s="214"/>
      <c r="O30" s="529"/>
    </row>
    <row r="31" spans="1:15" s="124" customFormat="1" ht="23.25" customHeight="1">
      <c r="A31" s="271"/>
      <c r="B31" s="116"/>
      <c r="C31" s="270" t="s">
        <v>356</v>
      </c>
      <c r="D31" s="122"/>
      <c r="E31" s="214">
        <v>6500</v>
      </c>
      <c r="F31" s="214"/>
      <c r="G31" s="214"/>
      <c r="H31" s="214">
        <v>6500</v>
      </c>
      <c r="I31" s="214">
        <v>6500</v>
      </c>
      <c r="J31" s="214">
        <v>0</v>
      </c>
      <c r="K31" s="560">
        <v>0</v>
      </c>
      <c r="L31" s="561"/>
      <c r="M31" s="273">
        <v>0</v>
      </c>
      <c r="N31" s="214"/>
      <c r="O31" s="529"/>
    </row>
    <row r="32" spans="1:15" s="124" customFormat="1" ht="24" customHeight="1">
      <c r="A32" s="271"/>
      <c r="B32" s="116"/>
      <c r="C32" s="270" t="s">
        <v>355</v>
      </c>
      <c r="D32" s="122"/>
      <c r="E32" s="214">
        <v>250000</v>
      </c>
      <c r="F32" s="214"/>
      <c r="G32" s="214"/>
      <c r="H32" s="214">
        <v>250000</v>
      </c>
      <c r="I32" s="214">
        <v>0</v>
      </c>
      <c r="J32" s="214">
        <v>250000</v>
      </c>
      <c r="K32" s="560">
        <v>0</v>
      </c>
      <c r="L32" s="561"/>
      <c r="M32" s="273">
        <v>0</v>
      </c>
      <c r="N32" s="214"/>
      <c r="O32" s="529"/>
    </row>
    <row r="33" spans="1:15" s="124" customFormat="1" ht="24" customHeight="1">
      <c r="A33" s="205"/>
      <c r="B33" s="117"/>
      <c r="C33" s="488" t="s">
        <v>512</v>
      </c>
      <c r="D33" s="263"/>
      <c r="E33" s="489">
        <v>31000</v>
      </c>
      <c r="F33" s="489"/>
      <c r="G33" s="489"/>
      <c r="H33" s="489">
        <v>31000</v>
      </c>
      <c r="I33" s="489">
        <v>31000</v>
      </c>
      <c r="J33" s="489"/>
      <c r="K33" s="560">
        <v>0</v>
      </c>
      <c r="L33" s="561"/>
      <c r="M33" s="490">
        <v>0</v>
      </c>
      <c r="N33" s="489"/>
      <c r="O33" s="522"/>
    </row>
    <row r="34" spans="1:15" s="124" customFormat="1" ht="33" customHeight="1">
      <c r="A34" s="205">
        <v>754</v>
      </c>
      <c r="B34" s="117">
        <v>75414</v>
      </c>
      <c r="C34" s="314" t="s">
        <v>230</v>
      </c>
      <c r="D34" s="263"/>
      <c r="E34" s="276">
        <f>SUM(E35:E36)</f>
        <v>15185</v>
      </c>
      <c r="F34" s="276">
        <f>SUM(F35:F36)</f>
        <v>0</v>
      </c>
      <c r="G34" s="276">
        <f>SUM(G35:G36)</f>
        <v>0</v>
      </c>
      <c r="H34" s="276">
        <f>SUM(H35:H36)</f>
        <v>15185</v>
      </c>
      <c r="I34" s="276">
        <f>SUM(I35:I36)</f>
        <v>15185</v>
      </c>
      <c r="J34" s="276">
        <f>SUM(J35)</f>
        <v>0</v>
      </c>
      <c r="K34" s="558">
        <f>SUM(K35:L36)</f>
        <v>5185</v>
      </c>
      <c r="L34" s="559"/>
      <c r="M34" s="276">
        <f>SUM(M35)</f>
        <v>0</v>
      </c>
      <c r="N34" s="276">
        <f>SUM(N35)</f>
        <v>0</v>
      </c>
      <c r="O34" s="263"/>
    </row>
    <row r="35" spans="1:15" s="124" customFormat="1" ht="29.25" customHeight="1">
      <c r="A35" s="271"/>
      <c r="B35" s="116"/>
      <c r="C35" s="270" t="s">
        <v>352</v>
      </c>
      <c r="D35" s="122"/>
      <c r="E35" s="214">
        <v>10000</v>
      </c>
      <c r="F35" s="214"/>
      <c r="G35" s="214"/>
      <c r="H35" s="214">
        <v>10000</v>
      </c>
      <c r="I35" s="214">
        <v>10000</v>
      </c>
      <c r="J35" s="214">
        <v>0</v>
      </c>
      <c r="K35" s="560">
        <v>0</v>
      </c>
      <c r="L35" s="561"/>
      <c r="M35" s="215">
        <v>0</v>
      </c>
      <c r="N35" s="214"/>
      <c r="O35" s="578" t="s">
        <v>477</v>
      </c>
    </row>
    <row r="36" spans="1:15" s="124" customFormat="1" ht="19.5" customHeight="1">
      <c r="A36" s="271"/>
      <c r="B36" s="116"/>
      <c r="C36" s="270" t="s">
        <v>360</v>
      </c>
      <c r="D36" s="122"/>
      <c r="E36" s="214">
        <v>5185</v>
      </c>
      <c r="F36" s="214"/>
      <c r="G36" s="214"/>
      <c r="H36" s="214">
        <v>5185</v>
      </c>
      <c r="I36" s="214">
        <v>5185</v>
      </c>
      <c r="J36" s="214"/>
      <c r="K36" s="560">
        <v>5185</v>
      </c>
      <c r="L36" s="561"/>
      <c r="M36" s="215"/>
      <c r="N36" s="214"/>
      <c r="O36" s="527"/>
    </row>
    <row r="37" spans="1:15" s="152" customFormat="1" ht="38.25">
      <c r="A37" s="126">
        <v>853</v>
      </c>
      <c r="B37" s="126">
        <v>85333</v>
      </c>
      <c r="C37" s="189" t="s">
        <v>241</v>
      </c>
      <c r="D37" s="126"/>
      <c r="E37" s="213">
        <f aca="true" t="shared" si="0" ref="E37:J37">SUM(E38)</f>
        <v>6000</v>
      </c>
      <c r="F37" s="213">
        <f t="shared" si="0"/>
        <v>0</v>
      </c>
      <c r="G37" s="213">
        <f t="shared" si="0"/>
        <v>0</v>
      </c>
      <c r="H37" s="213">
        <f t="shared" si="0"/>
        <v>6000</v>
      </c>
      <c r="I37" s="213">
        <f t="shared" si="0"/>
        <v>6000</v>
      </c>
      <c r="J37" s="213">
        <f t="shared" si="0"/>
        <v>0</v>
      </c>
      <c r="K37" s="560">
        <v>0</v>
      </c>
      <c r="L37" s="561"/>
      <c r="M37" s="213">
        <f>SUM(M38)</f>
        <v>0</v>
      </c>
      <c r="N37" s="213">
        <f>SUM(N38)</f>
        <v>0</v>
      </c>
      <c r="O37" s="126"/>
    </row>
    <row r="38" spans="1:15" s="152" customFormat="1" ht="22.5" customHeight="1">
      <c r="A38" s="113"/>
      <c r="B38" s="114"/>
      <c r="C38" s="270" t="s">
        <v>360</v>
      </c>
      <c r="D38" s="557"/>
      <c r="E38" s="214">
        <v>6000</v>
      </c>
      <c r="F38" s="214"/>
      <c r="G38" s="214"/>
      <c r="H38" s="214">
        <v>6000</v>
      </c>
      <c r="I38" s="214">
        <v>6000</v>
      </c>
      <c r="J38" s="214">
        <v>0</v>
      </c>
      <c r="K38" s="560">
        <v>0</v>
      </c>
      <c r="L38" s="561"/>
      <c r="M38" s="273">
        <v>0</v>
      </c>
      <c r="N38" s="214"/>
      <c r="O38" s="122" t="s">
        <v>359</v>
      </c>
    </row>
    <row r="39" spans="1:15" s="152" customFormat="1" ht="25.5">
      <c r="A39" s="126">
        <v>854</v>
      </c>
      <c r="B39" s="126">
        <v>85406</v>
      </c>
      <c r="C39" s="189" t="s">
        <v>242</v>
      </c>
      <c r="D39" s="557"/>
      <c r="E39" s="213">
        <f aca="true" t="shared" si="1" ref="E39:J39">SUM(E40)</f>
        <v>5000</v>
      </c>
      <c r="F39" s="213">
        <f t="shared" si="1"/>
        <v>0</v>
      </c>
      <c r="G39" s="213">
        <f t="shared" si="1"/>
        <v>0</v>
      </c>
      <c r="H39" s="213">
        <f t="shared" si="1"/>
        <v>5000</v>
      </c>
      <c r="I39" s="213">
        <f t="shared" si="1"/>
        <v>5000</v>
      </c>
      <c r="J39" s="213">
        <f t="shared" si="1"/>
        <v>0</v>
      </c>
      <c r="K39" s="558">
        <v>0</v>
      </c>
      <c r="L39" s="559"/>
      <c r="M39" s="213">
        <f>SUM(M40)</f>
        <v>0</v>
      </c>
      <c r="N39" s="213">
        <f>SUM(N40)</f>
        <v>0</v>
      </c>
      <c r="O39" s="126"/>
    </row>
    <row r="40" spans="1:15" s="152" customFormat="1" ht="36.75" customHeight="1">
      <c r="A40" s="315"/>
      <c r="B40" s="313"/>
      <c r="C40" s="270" t="s">
        <v>360</v>
      </c>
      <c r="D40" s="557"/>
      <c r="E40" s="214">
        <v>5000</v>
      </c>
      <c r="F40" s="214"/>
      <c r="G40" s="214"/>
      <c r="H40" s="214">
        <v>5000</v>
      </c>
      <c r="I40" s="214">
        <v>5000</v>
      </c>
      <c r="J40" s="214">
        <v>0</v>
      </c>
      <c r="K40" s="560">
        <v>0</v>
      </c>
      <c r="L40" s="561"/>
      <c r="M40" s="273">
        <v>0</v>
      </c>
      <c r="N40" s="214"/>
      <c r="O40" s="122" t="s">
        <v>361</v>
      </c>
    </row>
    <row r="41" spans="1:15" s="191" customFormat="1" ht="22.5" customHeight="1">
      <c r="A41" s="506" t="s">
        <v>83</v>
      </c>
      <c r="B41" s="507"/>
      <c r="C41" s="507"/>
      <c r="D41" s="508"/>
      <c r="E41" s="216">
        <f aca="true" t="shared" si="2" ref="E41:J41">SUM(E39,E37,E34,E27,E13)</f>
        <v>844010</v>
      </c>
      <c r="F41" s="216">
        <f t="shared" si="2"/>
        <v>0</v>
      </c>
      <c r="G41" s="216">
        <f t="shared" si="2"/>
        <v>0</v>
      </c>
      <c r="H41" s="216">
        <f t="shared" si="2"/>
        <v>844010</v>
      </c>
      <c r="I41" s="216">
        <f t="shared" si="2"/>
        <v>120196</v>
      </c>
      <c r="J41" s="216">
        <f t="shared" si="2"/>
        <v>673814</v>
      </c>
      <c r="K41" s="576">
        <f>SUM(K13)</f>
        <v>50000</v>
      </c>
      <c r="L41" s="577"/>
      <c r="M41" s="216">
        <f>SUM(M39,M37,M34,M27,M13)</f>
        <v>0</v>
      </c>
      <c r="N41" s="216" t="e">
        <f>SUM(N37,N34,N27,#REF!,N13)</f>
        <v>#REF!</v>
      </c>
      <c r="O41" s="190" t="s">
        <v>281</v>
      </c>
    </row>
  </sheetData>
  <mergeCells count="80">
    <mergeCell ref="K36:L36"/>
    <mergeCell ref="K33:L33"/>
    <mergeCell ref="O28:O33"/>
    <mergeCell ref="K41:L41"/>
    <mergeCell ref="K39:L39"/>
    <mergeCell ref="K40:L40"/>
    <mergeCell ref="O35:O36"/>
    <mergeCell ref="O14:O25"/>
    <mergeCell ref="K34:L34"/>
    <mergeCell ref="K35:L35"/>
    <mergeCell ref="M17:M19"/>
    <mergeCell ref="M14:M16"/>
    <mergeCell ref="N14:N16"/>
    <mergeCell ref="N23:N25"/>
    <mergeCell ref="M23:M25"/>
    <mergeCell ref="K14:L16"/>
    <mergeCell ref="K17:L19"/>
    <mergeCell ref="A7:O7"/>
    <mergeCell ref="A9:A11"/>
    <mergeCell ref="B9:B11"/>
    <mergeCell ref="C9:C11"/>
    <mergeCell ref="D9:D11"/>
    <mergeCell ref="E9:E11"/>
    <mergeCell ref="F9:F11"/>
    <mergeCell ref="G9:G11"/>
    <mergeCell ref="H9:N9"/>
    <mergeCell ref="O9:O11"/>
    <mergeCell ref="H10:H11"/>
    <mergeCell ref="I10:M10"/>
    <mergeCell ref="N10:N11"/>
    <mergeCell ref="K11:L11"/>
    <mergeCell ref="K12:L12"/>
    <mergeCell ref="K13:L13"/>
    <mergeCell ref="C14:C16"/>
    <mergeCell ref="D14:D16"/>
    <mergeCell ref="E14:E16"/>
    <mergeCell ref="F14:F16"/>
    <mergeCell ref="G14:G16"/>
    <mergeCell ref="H14:H16"/>
    <mergeCell ref="I14:I16"/>
    <mergeCell ref="J14:J16"/>
    <mergeCell ref="C17:C19"/>
    <mergeCell ref="D17:D19"/>
    <mergeCell ref="E17:E19"/>
    <mergeCell ref="F17:F19"/>
    <mergeCell ref="G17:G19"/>
    <mergeCell ref="H17:H19"/>
    <mergeCell ref="I17:I19"/>
    <mergeCell ref="J17:J19"/>
    <mergeCell ref="C20:C22"/>
    <mergeCell ref="D20:D22"/>
    <mergeCell ref="E20:E22"/>
    <mergeCell ref="F20:F22"/>
    <mergeCell ref="G20:G22"/>
    <mergeCell ref="H20:H22"/>
    <mergeCell ref="I20:I22"/>
    <mergeCell ref="J20:J22"/>
    <mergeCell ref="G23:G25"/>
    <mergeCell ref="H23:H25"/>
    <mergeCell ref="I23:I25"/>
    <mergeCell ref="J23:J25"/>
    <mergeCell ref="C23:C25"/>
    <mergeCell ref="D23:D25"/>
    <mergeCell ref="E23:E25"/>
    <mergeCell ref="F23:F25"/>
    <mergeCell ref="K23:L25"/>
    <mergeCell ref="K20:L22"/>
    <mergeCell ref="N17:N19"/>
    <mergeCell ref="M20:M22"/>
    <mergeCell ref="N20:N22"/>
    <mergeCell ref="D38:D40"/>
    <mergeCell ref="A41:D41"/>
    <mergeCell ref="K27:L27"/>
    <mergeCell ref="K28:L28"/>
    <mergeCell ref="K29:L29"/>
    <mergeCell ref="K30:L30"/>
    <mergeCell ref="K31:L31"/>
    <mergeCell ref="K32:L32"/>
    <mergeCell ref="K37:L37"/>
    <mergeCell ref="K38:L38"/>
  </mergeCells>
  <printOptions/>
  <pageMargins left="1.12" right="0.2" top="1.04" bottom="0.75" header="0.5" footer="0.49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4"/>
  <sheetViews>
    <sheetView zoomScale="90" zoomScaleNormal="90" workbookViewId="0" topLeftCell="A1">
      <pane ySplit="3000" topLeftCell="BM78" activePane="topLeft" state="split"/>
      <selection pane="topLeft" activeCell="I10" sqref="I10:L10"/>
      <selection pane="bottomLeft" activeCell="D89" sqref="D89:D92"/>
    </sheetView>
  </sheetViews>
  <sheetFormatPr defaultColWidth="9.00390625" defaultRowHeight="12.75"/>
  <cols>
    <col min="1" max="1" width="3.625" style="217" bestFit="1" customWidth="1"/>
    <col min="2" max="2" width="18.875" style="217" customWidth="1"/>
    <col min="3" max="3" width="11.125" style="217" customWidth="1"/>
    <col min="4" max="4" width="9.375" style="217" customWidth="1"/>
    <col min="5" max="5" width="10.75390625" style="217" customWidth="1"/>
    <col min="6" max="6" width="9.375" style="217" customWidth="1"/>
    <col min="7" max="7" width="9.25390625" style="217" customWidth="1"/>
    <col min="8" max="8" width="8.625" style="217" customWidth="1"/>
    <col min="9" max="9" width="8.75390625" style="217" customWidth="1"/>
    <col min="10" max="10" width="8.00390625" style="217" customWidth="1"/>
    <col min="11" max="11" width="7.00390625" style="217" bestFit="1" customWidth="1"/>
    <col min="12" max="12" width="8.875" style="217" bestFit="1" customWidth="1"/>
    <col min="13" max="14" width="9.25390625" style="217" customWidth="1"/>
    <col min="15" max="15" width="7.00390625" style="217" customWidth="1"/>
    <col min="16" max="16" width="6.125" style="217" customWidth="1"/>
    <col min="17" max="17" width="8.375" style="217" customWidth="1"/>
    <col min="18" max="16384" width="10.25390625" style="217" customWidth="1"/>
  </cols>
  <sheetData>
    <row r="1" ht="12">
      <c r="Q1" s="262" t="s">
        <v>331</v>
      </c>
    </row>
    <row r="2" ht="14.25">
      <c r="Q2" s="95" t="s">
        <v>506</v>
      </c>
    </row>
    <row r="3" ht="14.25">
      <c r="Q3" s="95" t="s">
        <v>507</v>
      </c>
    </row>
    <row r="4" ht="4.5" customHeight="1"/>
    <row r="5" spans="1:17" ht="14.25" customHeight="1">
      <c r="A5" s="617" t="s">
        <v>47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</row>
    <row r="6" ht="3.75" customHeight="1"/>
    <row r="7" spans="1:17" ht="9.75" customHeight="1">
      <c r="A7" s="618" t="s">
        <v>112</v>
      </c>
      <c r="B7" s="618" t="s">
        <v>283</v>
      </c>
      <c r="C7" s="619" t="s">
        <v>284</v>
      </c>
      <c r="D7" s="619" t="s">
        <v>285</v>
      </c>
      <c r="E7" s="619" t="s">
        <v>286</v>
      </c>
      <c r="F7" s="618" t="s">
        <v>287</v>
      </c>
      <c r="G7" s="618"/>
      <c r="H7" s="618" t="s">
        <v>129</v>
      </c>
      <c r="I7" s="618"/>
      <c r="J7" s="618"/>
      <c r="K7" s="618"/>
      <c r="L7" s="618"/>
      <c r="M7" s="618"/>
      <c r="N7" s="618"/>
      <c r="O7" s="618"/>
      <c r="P7" s="618"/>
      <c r="Q7" s="618"/>
    </row>
    <row r="8" spans="1:17" ht="9" customHeight="1">
      <c r="A8" s="618"/>
      <c r="B8" s="618"/>
      <c r="C8" s="619"/>
      <c r="D8" s="619"/>
      <c r="E8" s="619"/>
      <c r="F8" s="619" t="s">
        <v>288</v>
      </c>
      <c r="G8" s="619" t="s">
        <v>289</v>
      </c>
      <c r="H8" s="618" t="s">
        <v>309</v>
      </c>
      <c r="I8" s="618"/>
      <c r="J8" s="618"/>
      <c r="K8" s="618"/>
      <c r="L8" s="618"/>
      <c r="M8" s="618"/>
      <c r="N8" s="618"/>
      <c r="O8" s="618"/>
      <c r="P8" s="618"/>
      <c r="Q8" s="618"/>
    </row>
    <row r="9" spans="1:17" ht="9.75" customHeight="1">
      <c r="A9" s="618"/>
      <c r="B9" s="618"/>
      <c r="C9" s="619"/>
      <c r="D9" s="619"/>
      <c r="E9" s="619"/>
      <c r="F9" s="619"/>
      <c r="G9" s="619"/>
      <c r="H9" s="619" t="s">
        <v>290</v>
      </c>
      <c r="I9" s="618" t="s">
        <v>291</v>
      </c>
      <c r="J9" s="618"/>
      <c r="K9" s="618"/>
      <c r="L9" s="618"/>
      <c r="M9" s="618"/>
      <c r="N9" s="618"/>
      <c r="O9" s="618"/>
      <c r="P9" s="618"/>
      <c r="Q9" s="618"/>
    </row>
    <row r="10" spans="1:17" ht="12" customHeight="1">
      <c r="A10" s="618"/>
      <c r="B10" s="618"/>
      <c r="C10" s="619"/>
      <c r="D10" s="619"/>
      <c r="E10" s="619"/>
      <c r="F10" s="619"/>
      <c r="G10" s="619"/>
      <c r="H10" s="619"/>
      <c r="I10" s="618" t="s">
        <v>292</v>
      </c>
      <c r="J10" s="618"/>
      <c r="K10" s="618"/>
      <c r="L10" s="618"/>
      <c r="M10" s="618" t="s">
        <v>289</v>
      </c>
      <c r="N10" s="618"/>
      <c r="O10" s="618"/>
      <c r="P10" s="618"/>
      <c r="Q10" s="618"/>
    </row>
    <row r="11" spans="1:17" ht="9" customHeight="1">
      <c r="A11" s="618"/>
      <c r="B11" s="618"/>
      <c r="C11" s="619"/>
      <c r="D11" s="619"/>
      <c r="E11" s="619"/>
      <c r="F11" s="619"/>
      <c r="G11" s="619"/>
      <c r="H11" s="619"/>
      <c r="I11" s="619" t="s">
        <v>293</v>
      </c>
      <c r="J11" s="618" t="s">
        <v>294</v>
      </c>
      <c r="K11" s="618"/>
      <c r="L11" s="618"/>
      <c r="M11" s="619" t="s">
        <v>295</v>
      </c>
      <c r="N11" s="619" t="s">
        <v>294</v>
      </c>
      <c r="O11" s="619"/>
      <c r="P11" s="619"/>
      <c r="Q11" s="619"/>
    </row>
    <row r="12" spans="1:17" ht="40.5" customHeight="1">
      <c r="A12" s="618"/>
      <c r="B12" s="618"/>
      <c r="C12" s="619"/>
      <c r="D12" s="619"/>
      <c r="E12" s="619"/>
      <c r="F12" s="619"/>
      <c r="G12" s="619"/>
      <c r="H12" s="619"/>
      <c r="I12" s="619"/>
      <c r="J12" s="218" t="s">
        <v>296</v>
      </c>
      <c r="K12" s="218" t="s">
        <v>297</v>
      </c>
      <c r="L12" s="218" t="s">
        <v>298</v>
      </c>
      <c r="M12" s="619"/>
      <c r="N12" s="365" t="s">
        <v>299</v>
      </c>
      <c r="O12" s="218" t="s">
        <v>296</v>
      </c>
      <c r="P12" s="218" t="s">
        <v>297</v>
      </c>
      <c r="Q12" s="218" t="s">
        <v>300</v>
      </c>
    </row>
    <row r="13" spans="1:17" ht="11.25">
      <c r="A13" s="266">
        <v>1</v>
      </c>
      <c r="B13" s="266">
        <v>2</v>
      </c>
      <c r="C13" s="219">
        <v>3</v>
      </c>
      <c r="D13" s="219">
        <v>4</v>
      </c>
      <c r="E13" s="219">
        <v>5</v>
      </c>
      <c r="F13" s="219">
        <v>6</v>
      </c>
      <c r="G13" s="219">
        <v>7</v>
      </c>
      <c r="H13" s="219">
        <v>8</v>
      </c>
      <c r="I13" s="219">
        <v>9</v>
      </c>
      <c r="J13" s="219">
        <v>10</v>
      </c>
      <c r="K13" s="219">
        <v>11</v>
      </c>
      <c r="L13" s="219">
        <v>12</v>
      </c>
      <c r="M13" s="219">
        <v>13</v>
      </c>
      <c r="N13" s="219">
        <v>14</v>
      </c>
      <c r="O13" s="219">
        <v>15</v>
      </c>
      <c r="P13" s="219">
        <v>16</v>
      </c>
      <c r="Q13" s="219">
        <v>17</v>
      </c>
    </row>
    <row r="14" spans="1:17" ht="11.25">
      <c r="A14" s="269">
        <v>1</v>
      </c>
      <c r="B14" s="267" t="s">
        <v>301</v>
      </c>
      <c r="C14" s="611" t="s">
        <v>302</v>
      </c>
      <c r="D14" s="612"/>
      <c r="E14" s="264">
        <f>SUM(E19,E31,E40,E50)</f>
        <v>32919647</v>
      </c>
      <c r="F14" s="264">
        <f aca="true" t="shared" si="0" ref="F14:Q14">SUM(F19,F31,F40,F50)</f>
        <v>10967549</v>
      </c>
      <c r="G14" s="264">
        <f t="shared" si="0"/>
        <v>21952098</v>
      </c>
      <c r="H14" s="264">
        <f t="shared" si="0"/>
        <v>295235</v>
      </c>
      <c r="I14" s="264">
        <f t="shared" si="0"/>
        <v>295235</v>
      </c>
      <c r="J14" s="264">
        <f t="shared" si="0"/>
        <v>295235</v>
      </c>
      <c r="K14" s="264">
        <f t="shared" si="0"/>
        <v>0</v>
      </c>
      <c r="L14" s="264">
        <f t="shared" si="0"/>
        <v>0</v>
      </c>
      <c r="M14" s="264">
        <f t="shared" si="0"/>
        <v>0</v>
      </c>
      <c r="N14" s="264">
        <f t="shared" si="0"/>
        <v>0</v>
      </c>
      <c r="O14" s="264">
        <f t="shared" si="0"/>
        <v>0</v>
      </c>
      <c r="P14" s="264">
        <f t="shared" si="0"/>
        <v>0</v>
      </c>
      <c r="Q14" s="264">
        <f t="shared" si="0"/>
        <v>0</v>
      </c>
    </row>
    <row r="15" spans="1:17" ht="12" customHeight="1">
      <c r="A15" s="586" t="s">
        <v>303</v>
      </c>
      <c r="B15" s="340" t="s">
        <v>304</v>
      </c>
      <c r="C15" s="620" t="s">
        <v>365</v>
      </c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</row>
    <row r="16" spans="1:17" ht="12" customHeight="1">
      <c r="A16" s="587"/>
      <c r="B16" s="340" t="s">
        <v>305</v>
      </c>
      <c r="C16" s="583" t="s">
        <v>491</v>
      </c>
      <c r="D16" s="584"/>
      <c r="E16" s="584"/>
      <c r="F16" s="584"/>
      <c r="G16" s="584"/>
      <c r="H16" s="584"/>
      <c r="I16" s="584"/>
      <c r="J16" s="584"/>
      <c r="K16" s="584"/>
      <c r="L16" s="584"/>
      <c r="M16" s="584"/>
      <c r="N16" s="584"/>
      <c r="O16" s="584"/>
      <c r="P16" s="584"/>
      <c r="Q16" s="585"/>
    </row>
    <row r="17" spans="1:17" ht="10.5" customHeight="1">
      <c r="A17" s="587"/>
      <c r="B17" s="340" t="s">
        <v>306</v>
      </c>
      <c r="C17" s="583" t="s">
        <v>490</v>
      </c>
      <c r="D17" s="584"/>
      <c r="E17" s="584"/>
      <c r="F17" s="584"/>
      <c r="G17" s="584"/>
      <c r="H17" s="584"/>
      <c r="I17" s="584"/>
      <c r="J17" s="584"/>
      <c r="K17" s="584"/>
      <c r="L17" s="584"/>
      <c r="M17" s="584"/>
      <c r="N17" s="584"/>
      <c r="O17" s="584"/>
      <c r="P17" s="584"/>
      <c r="Q17" s="585"/>
    </row>
    <row r="18" spans="1:17" ht="15" customHeight="1">
      <c r="A18" s="587"/>
      <c r="B18" s="340" t="s">
        <v>307</v>
      </c>
      <c r="C18" s="622" t="s">
        <v>486</v>
      </c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4"/>
    </row>
    <row r="19" spans="1:17" ht="15" customHeight="1">
      <c r="A19" s="587"/>
      <c r="B19" s="340" t="s">
        <v>308</v>
      </c>
      <c r="C19" s="342"/>
      <c r="D19" s="275"/>
      <c r="E19" s="338">
        <f>SUM(E20:E26)</f>
        <v>15067412</v>
      </c>
      <c r="F19" s="338">
        <f>SUM(F20:F26)</f>
        <v>3013482</v>
      </c>
      <c r="G19" s="338">
        <f>SUM(G20:G26)</f>
        <v>12053930</v>
      </c>
      <c r="H19" s="338">
        <f>SUM(I19,M19)</f>
        <v>260000</v>
      </c>
      <c r="I19" s="338">
        <f>J19+K19+L19</f>
        <v>260000</v>
      </c>
      <c r="J19" s="338">
        <f>SUM(F20)</f>
        <v>260000</v>
      </c>
      <c r="K19" s="338">
        <v>0</v>
      </c>
      <c r="L19" s="338">
        <v>0</v>
      </c>
      <c r="M19" s="338">
        <f>N19+O19+P19+Q19</f>
        <v>0</v>
      </c>
      <c r="N19" s="338">
        <v>0</v>
      </c>
      <c r="O19" s="338">
        <v>0</v>
      </c>
      <c r="P19" s="338">
        <v>0</v>
      </c>
      <c r="Q19" s="338">
        <v>0</v>
      </c>
    </row>
    <row r="20" spans="1:17" ht="11.25">
      <c r="A20" s="587"/>
      <c r="B20" s="340" t="s">
        <v>44</v>
      </c>
      <c r="C20" s="601">
        <v>312</v>
      </c>
      <c r="D20" s="607" t="s">
        <v>330</v>
      </c>
      <c r="E20" s="338">
        <f aca="true" t="shared" si="1" ref="E20:E26">SUM(F20,G20)</f>
        <v>260000</v>
      </c>
      <c r="F20" s="338">
        <v>260000</v>
      </c>
      <c r="G20" s="338">
        <v>0</v>
      </c>
      <c r="H20" s="625"/>
      <c r="I20" s="625"/>
      <c r="J20" s="625"/>
      <c r="K20" s="625"/>
      <c r="L20" s="625"/>
      <c r="M20" s="625"/>
      <c r="N20" s="625"/>
      <c r="O20" s="625"/>
      <c r="P20" s="625"/>
      <c r="Q20" s="625"/>
    </row>
    <row r="21" spans="1:17" ht="11.25">
      <c r="A21" s="587"/>
      <c r="B21" s="340" t="s">
        <v>310</v>
      </c>
      <c r="C21" s="602"/>
      <c r="D21" s="608"/>
      <c r="E21" s="338">
        <f t="shared" si="1"/>
        <v>388430</v>
      </c>
      <c r="F21" s="338">
        <v>388430</v>
      </c>
      <c r="G21" s="338">
        <v>0</v>
      </c>
      <c r="H21" s="626"/>
      <c r="I21" s="626"/>
      <c r="J21" s="626"/>
      <c r="K21" s="626"/>
      <c r="L21" s="626"/>
      <c r="M21" s="626"/>
      <c r="N21" s="626"/>
      <c r="O21" s="626"/>
      <c r="P21" s="626"/>
      <c r="Q21" s="626"/>
    </row>
    <row r="22" spans="1:17" ht="11.25">
      <c r="A22" s="587"/>
      <c r="B22" s="340" t="s">
        <v>45</v>
      </c>
      <c r="C22" s="602"/>
      <c r="D22" s="608"/>
      <c r="E22" s="338">
        <f t="shared" si="1"/>
        <v>0</v>
      </c>
      <c r="F22" s="338">
        <v>0</v>
      </c>
      <c r="G22" s="338">
        <v>0</v>
      </c>
      <c r="H22" s="626"/>
      <c r="I22" s="626"/>
      <c r="J22" s="626"/>
      <c r="K22" s="626"/>
      <c r="L22" s="626"/>
      <c r="M22" s="626"/>
      <c r="N22" s="626"/>
      <c r="O22" s="626"/>
      <c r="P22" s="626"/>
      <c r="Q22" s="626"/>
    </row>
    <row r="23" spans="1:17" ht="11.25">
      <c r="A23" s="587"/>
      <c r="B23" s="340" t="s">
        <v>46</v>
      </c>
      <c r="C23" s="602"/>
      <c r="D23" s="608"/>
      <c r="E23" s="338">
        <f t="shared" si="1"/>
        <v>1835000</v>
      </c>
      <c r="F23" s="338">
        <v>300940</v>
      </c>
      <c r="G23" s="338">
        <v>1534060</v>
      </c>
      <c r="H23" s="626"/>
      <c r="I23" s="626"/>
      <c r="J23" s="626"/>
      <c r="K23" s="626"/>
      <c r="L23" s="626"/>
      <c r="M23" s="626"/>
      <c r="N23" s="626"/>
      <c r="O23" s="626"/>
      <c r="P23" s="626"/>
      <c r="Q23" s="626"/>
    </row>
    <row r="24" spans="1:17" ht="11.25">
      <c r="A24" s="587"/>
      <c r="B24" s="340" t="s">
        <v>380</v>
      </c>
      <c r="C24" s="602"/>
      <c r="D24" s="608"/>
      <c r="E24" s="338">
        <f t="shared" si="1"/>
        <v>5771000</v>
      </c>
      <c r="F24" s="338">
        <v>946444</v>
      </c>
      <c r="G24" s="338">
        <v>4824556</v>
      </c>
      <c r="H24" s="626"/>
      <c r="I24" s="626"/>
      <c r="J24" s="626"/>
      <c r="K24" s="626"/>
      <c r="L24" s="626"/>
      <c r="M24" s="626"/>
      <c r="N24" s="626"/>
      <c r="O24" s="626"/>
      <c r="P24" s="626"/>
      <c r="Q24" s="626"/>
    </row>
    <row r="25" spans="1:17" ht="11.25">
      <c r="A25" s="587"/>
      <c r="B25" s="340" t="s">
        <v>488</v>
      </c>
      <c r="C25" s="602"/>
      <c r="D25" s="608"/>
      <c r="E25" s="338">
        <f t="shared" si="1"/>
        <v>4519000</v>
      </c>
      <c r="F25" s="338">
        <v>741116</v>
      </c>
      <c r="G25" s="338">
        <v>3777884</v>
      </c>
      <c r="H25" s="626"/>
      <c r="I25" s="626"/>
      <c r="J25" s="626"/>
      <c r="K25" s="626"/>
      <c r="L25" s="626"/>
      <c r="M25" s="626"/>
      <c r="N25" s="626"/>
      <c r="O25" s="626"/>
      <c r="P25" s="626"/>
      <c r="Q25" s="626"/>
    </row>
    <row r="26" spans="1:17" ht="11.25">
      <c r="A26" s="588"/>
      <c r="B26" s="340" t="s">
        <v>489</v>
      </c>
      <c r="C26" s="603"/>
      <c r="D26" s="609"/>
      <c r="E26" s="338">
        <f t="shared" si="1"/>
        <v>2293982</v>
      </c>
      <c r="F26" s="338">
        <v>376552</v>
      </c>
      <c r="G26" s="338">
        <v>1917430</v>
      </c>
      <c r="H26" s="627"/>
      <c r="I26" s="627"/>
      <c r="J26" s="627"/>
      <c r="K26" s="627"/>
      <c r="L26" s="627"/>
      <c r="M26" s="627"/>
      <c r="N26" s="627"/>
      <c r="O26" s="627"/>
      <c r="P26" s="627"/>
      <c r="Q26" s="627"/>
    </row>
    <row r="27" spans="1:17" ht="12.75" customHeight="1">
      <c r="A27" s="586" t="s">
        <v>311</v>
      </c>
      <c r="B27" s="268" t="s">
        <v>304</v>
      </c>
      <c r="C27" s="596" t="s">
        <v>365</v>
      </c>
      <c r="D27" s="597"/>
      <c r="E27" s="597"/>
      <c r="F27" s="597"/>
      <c r="G27" s="597"/>
      <c r="H27" s="597"/>
      <c r="I27" s="597"/>
      <c r="J27" s="597"/>
      <c r="K27" s="597"/>
      <c r="L27" s="597"/>
      <c r="M27" s="597"/>
      <c r="N27" s="597"/>
      <c r="O27" s="597"/>
      <c r="P27" s="597"/>
      <c r="Q27" s="597"/>
    </row>
    <row r="28" spans="1:17" ht="12.75" customHeight="1">
      <c r="A28" s="588"/>
      <c r="B28" s="268" t="s">
        <v>305</v>
      </c>
      <c r="C28" s="583" t="s">
        <v>491</v>
      </c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584"/>
      <c r="Q28" s="585"/>
    </row>
    <row r="29" spans="1:17" ht="11.25" customHeight="1">
      <c r="A29" s="586" t="s">
        <v>311</v>
      </c>
      <c r="B29" s="268" t="s">
        <v>306</v>
      </c>
      <c r="C29" s="598" t="s">
        <v>378</v>
      </c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600"/>
    </row>
    <row r="30" spans="1:17" ht="12" customHeight="1">
      <c r="A30" s="587"/>
      <c r="B30" s="268" t="s">
        <v>307</v>
      </c>
      <c r="C30" s="598" t="s">
        <v>377</v>
      </c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600"/>
    </row>
    <row r="31" spans="1:17" ht="12.75" customHeight="1">
      <c r="A31" s="587"/>
      <c r="B31" s="268" t="s">
        <v>308</v>
      </c>
      <c r="C31" s="337"/>
      <c r="D31" s="337"/>
      <c r="E31" s="338">
        <f>SUM(E32:E35)</f>
        <v>2772000</v>
      </c>
      <c r="F31" s="338">
        <f>SUM(F32:F35)</f>
        <v>416000</v>
      </c>
      <c r="G31" s="338">
        <f>SUM(G32:G35)</f>
        <v>2356000</v>
      </c>
      <c r="H31" s="338">
        <f>SUM(I31,M31)</f>
        <v>0</v>
      </c>
      <c r="I31" s="338">
        <f>J31+K31+L31</f>
        <v>0</v>
      </c>
      <c r="J31" s="338">
        <f>SUM(F32)</f>
        <v>0</v>
      </c>
      <c r="K31" s="338">
        <v>0</v>
      </c>
      <c r="L31" s="338">
        <v>0</v>
      </c>
      <c r="M31" s="338">
        <f>N31+O31+P31+Q31</f>
        <v>0</v>
      </c>
      <c r="N31" s="338">
        <v>0</v>
      </c>
      <c r="O31" s="338"/>
      <c r="P31" s="338">
        <v>0</v>
      </c>
      <c r="Q31" s="338">
        <v>0</v>
      </c>
    </row>
    <row r="32" spans="1:17" ht="11.25">
      <c r="A32" s="587"/>
      <c r="B32" s="268" t="s">
        <v>44</v>
      </c>
      <c r="C32" s="601">
        <v>312</v>
      </c>
      <c r="D32" s="607" t="s">
        <v>330</v>
      </c>
      <c r="E32" s="338">
        <v>0</v>
      </c>
      <c r="F32" s="338">
        <v>0</v>
      </c>
      <c r="G32" s="338">
        <v>0</v>
      </c>
      <c r="H32" s="628"/>
      <c r="I32" s="628"/>
      <c r="J32" s="628"/>
      <c r="K32" s="628"/>
      <c r="L32" s="628"/>
      <c r="M32" s="628"/>
      <c r="N32" s="628"/>
      <c r="O32" s="628"/>
      <c r="P32" s="628"/>
      <c r="Q32" s="628"/>
    </row>
    <row r="33" spans="1:17" ht="11.25">
      <c r="A33" s="587"/>
      <c r="B33" s="268" t="s">
        <v>310</v>
      </c>
      <c r="C33" s="602"/>
      <c r="D33" s="608"/>
      <c r="E33" s="338">
        <f>SUM(F33,G33)</f>
        <v>2772000</v>
      </c>
      <c r="F33" s="338">
        <v>416000</v>
      </c>
      <c r="G33" s="338">
        <v>2356000</v>
      </c>
      <c r="H33" s="629"/>
      <c r="I33" s="629"/>
      <c r="J33" s="629"/>
      <c r="K33" s="629"/>
      <c r="L33" s="629"/>
      <c r="M33" s="629"/>
      <c r="N33" s="629"/>
      <c r="O33" s="629"/>
      <c r="P33" s="629"/>
      <c r="Q33" s="629"/>
    </row>
    <row r="34" spans="1:17" ht="11.25">
      <c r="A34" s="587"/>
      <c r="B34" s="268" t="s">
        <v>45</v>
      </c>
      <c r="C34" s="602"/>
      <c r="D34" s="608"/>
      <c r="E34" s="338">
        <v>0</v>
      </c>
      <c r="F34" s="338">
        <v>0</v>
      </c>
      <c r="G34" s="338">
        <v>0</v>
      </c>
      <c r="H34" s="629"/>
      <c r="I34" s="629"/>
      <c r="J34" s="629"/>
      <c r="K34" s="629"/>
      <c r="L34" s="629"/>
      <c r="M34" s="629"/>
      <c r="N34" s="629"/>
      <c r="O34" s="629"/>
      <c r="P34" s="629"/>
      <c r="Q34" s="629"/>
    </row>
    <row r="35" spans="1:17" ht="11.25">
      <c r="A35" s="588"/>
      <c r="B35" s="268" t="s">
        <v>46</v>
      </c>
      <c r="C35" s="603"/>
      <c r="D35" s="609"/>
      <c r="E35" s="338">
        <f>SUM(F35,G35)</f>
        <v>0</v>
      </c>
      <c r="F35" s="338">
        <v>0</v>
      </c>
      <c r="G35" s="338">
        <v>0</v>
      </c>
      <c r="H35" s="630"/>
      <c r="I35" s="630"/>
      <c r="J35" s="630"/>
      <c r="K35" s="630"/>
      <c r="L35" s="630"/>
      <c r="M35" s="630"/>
      <c r="N35" s="630"/>
      <c r="O35" s="630"/>
      <c r="P35" s="630"/>
      <c r="Q35" s="630"/>
    </row>
    <row r="36" spans="1:17" ht="13.5" customHeight="1">
      <c r="A36" s="586" t="s">
        <v>312</v>
      </c>
      <c r="B36" s="268" t="s">
        <v>304</v>
      </c>
      <c r="C36" s="596" t="s">
        <v>365</v>
      </c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</row>
    <row r="37" spans="1:17" ht="11.25" customHeight="1">
      <c r="A37" s="587"/>
      <c r="B37" s="268" t="s">
        <v>305</v>
      </c>
      <c r="C37" s="583" t="s">
        <v>491</v>
      </c>
      <c r="D37" s="584"/>
      <c r="E37" s="584"/>
      <c r="F37" s="584"/>
      <c r="G37" s="584"/>
      <c r="H37" s="584"/>
      <c r="I37" s="584"/>
      <c r="J37" s="584"/>
      <c r="K37" s="584"/>
      <c r="L37" s="584"/>
      <c r="M37" s="584"/>
      <c r="N37" s="584"/>
      <c r="O37" s="584"/>
      <c r="P37" s="584"/>
      <c r="Q37" s="585"/>
    </row>
    <row r="38" spans="1:17" ht="11.25" customHeight="1">
      <c r="A38" s="587"/>
      <c r="B38" s="268" t="s">
        <v>306</v>
      </c>
      <c r="C38" s="598" t="s">
        <v>378</v>
      </c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600"/>
    </row>
    <row r="39" spans="1:17" ht="12" customHeight="1">
      <c r="A39" s="587"/>
      <c r="B39" s="268" t="s">
        <v>307</v>
      </c>
      <c r="C39" s="598" t="s">
        <v>379</v>
      </c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600"/>
    </row>
    <row r="40" spans="1:17" ht="11.25">
      <c r="A40" s="587"/>
      <c r="B40" s="268" t="s">
        <v>308</v>
      </c>
      <c r="C40" s="337"/>
      <c r="D40" s="337"/>
      <c r="E40" s="338">
        <f>SUM(E44:E45)</f>
        <v>4400000</v>
      </c>
      <c r="F40" s="338">
        <f>SUM(F44:F45)</f>
        <v>660000</v>
      </c>
      <c r="G40" s="338">
        <f>SUM(G44:G45)</f>
        <v>3740000</v>
      </c>
      <c r="H40" s="338">
        <f>SUM(I40,M40)</f>
        <v>0</v>
      </c>
      <c r="I40" s="338">
        <f>J40+K40+L40</f>
        <v>0</v>
      </c>
      <c r="J40" s="338">
        <f>SUM(F41)</f>
        <v>0</v>
      </c>
      <c r="K40" s="338">
        <v>0</v>
      </c>
      <c r="L40" s="338">
        <v>0</v>
      </c>
      <c r="M40" s="338">
        <f>N40+O40+P40+Q40</f>
        <v>0</v>
      </c>
      <c r="N40" s="338">
        <v>0</v>
      </c>
      <c r="O40" s="338"/>
      <c r="P40" s="338">
        <v>0</v>
      </c>
      <c r="Q40" s="338">
        <v>0</v>
      </c>
    </row>
    <row r="41" spans="1:17" ht="11.25">
      <c r="A41" s="587"/>
      <c r="B41" s="268" t="s">
        <v>44</v>
      </c>
      <c r="C41" s="601">
        <v>312</v>
      </c>
      <c r="D41" s="607" t="s">
        <v>330</v>
      </c>
      <c r="E41" s="338">
        <v>0</v>
      </c>
      <c r="F41" s="338">
        <v>0</v>
      </c>
      <c r="G41" s="338">
        <v>0</v>
      </c>
      <c r="H41" s="628"/>
      <c r="I41" s="628"/>
      <c r="J41" s="628"/>
      <c r="K41" s="628"/>
      <c r="L41" s="628"/>
      <c r="M41" s="628"/>
      <c r="N41" s="628"/>
      <c r="O41" s="628"/>
      <c r="P41" s="628"/>
      <c r="Q41" s="628"/>
    </row>
    <row r="42" spans="1:17" ht="11.25">
      <c r="A42" s="587"/>
      <c r="B42" s="268" t="s">
        <v>310</v>
      </c>
      <c r="C42" s="602"/>
      <c r="D42" s="608"/>
      <c r="E42" s="338">
        <f>SUM(F42,G42)</f>
        <v>0</v>
      </c>
      <c r="F42" s="338">
        <v>0</v>
      </c>
      <c r="G42" s="338">
        <v>0</v>
      </c>
      <c r="H42" s="629"/>
      <c r="I42" s="629"/>
      <c r="J42" s="629"/>
      <c r="K42" s="629"/>
      <c r="L42" s="629"/>
      <c r="M42" s="629"/>
      <c r="N42" s="629"/>
      <c r="O42" s="629"/>
      <c r="P42" s="629"/>
      <c r="Q42" s="629"/>
    </row>
    <row r="43" spans="1:17" ht="11.25">
      <c r="A43" s="587"/>
      <c r="B43" s="268" t="s">
        <v>45</v>
      </c>
      <c r="C43" s="602"/>
      <c r="D43" s="608"/>
      <c r="E43" s="338">
        <v>0</v>
      </c>
      <c r="F43" s="338">
        <v>0</v>
      </c>
      <c r="G43" s="338">
        <v>0</v>
      </c>
      <c r="H43" s="629"/>
      <c r="I43" s="629"/>
      <c r="J43" s="629"/>
      <c r="K43" s="629"/>
      <c r="L43" s="629"/>
      <c r="M43" s="629"/>
      <c r="N43" s="629"/>
      <c r="O43" s="629"/>
      <c r="P43" s="629"/>
      <c r="Q43" s="629"/>
    </row>
    <row r="44" spans="1:17" ht="11.25">
      <c r="A44" s="587"/>
      <c r="B44" s="268" t="s">
        <v>46</v>
      </c>
      <c r="C44" s="602"/>
      <c r="D44" s="608"/>
      <c r="E44" s="338">
        <f>SUM(F44,G44)</f>
        <v>1400000</v>
      </c>
      <c r="F44" s="338">
        <v>210000</v>
      </c>
      <c r="G44" s="338">
        <v>1190000</v>
      </c>
      <c r="H44" s="630"/>
      <c r="I44" s="630"/>
      <c r="J44" s="630"/>
      <c r="K44" s="630"/>
      <c r="L44" s="630"/>
      <c r="M44" s="630"/>
      <c r="N44" s="630"/>
      <c r="O44" s="630"/>
      <c r="P44" s="630"/>
      <c r="Q44" s="630"/>
    </row>
    <row r="45" spans="1:17" ht="11.25">
      <c r="A45" s="588"/>
      <c r="B45" s="268" t="s">
        <v>380</v>
      </c>
      <c r="C45" s="603"/>
      <c r="D45" s="609"/>
      <c r="E45" s="338">
        <f>SUM(F45,G45)</f>
        <v>3000000</v>
      </c>
      <c r="F45" s="338">
        <v>450000</v>
      </c>
      <c r="G45" s="338">
        <v>2550000</v>
      </c>
      <c r="H45" s="362"/>
      <c r="I45" s="362"/>
      <c r="J45" s="362"/>
      <c r="K45" s="362"/>
      <c r="L45" s="362"/>
      <c r="M45" s="362"/>
      <c r="N45" s="362"/>
      <c r="O45" s="362"/>
      <c r="P45" s="362"/>
      <c r="Q45" s="362"/>
    </row>
    <row r="46" spans="1:17" ht="12.75" customHeight="1">
      <c r="A46" s="586" t="s">
        <v>323</v>
      </c>
      <c r="B46" s="268" t="s">
        <v>304</v>
      </c>
      <c r="C46" s="620" t="s">
        <v>365</v>
      </c>
      <c r="D46" s="621"/>
      <c r="E46" s="621"/>
      <c r="F46" s="621"/>
      <c r="G46" s="621"/>
      <c r="H46" s="621"/>
      <c r="I46" s="621"/>
      <c r="J46" s="621"/>
      <c r="K46" s="621"/>
      <c r="L46" s="621"/>
      <c r="M46" s="621"/>
      <c r="N46" s="621"/>
      <c r="O46" s="621"/>
      <c r="P46" s="621"/>
      <c r="Q46" s="621"/>
    </row>
    <row r="47" spans="1:17" ht="12.75" customHeight="1">
      <c r="A47" s="587"/>
      <c r="B47" s="268" t="s">
        <v>305</v>
      </c>
      <c r="C47" s="583" t="s">
        <v>491</v>
      </c>
      <c r="D47" s="584"/>
      <c r="E47" s="584"/>
      <c r="F47" s="584"/>
      <c r="G47" s="584"/>
      <c r="H47" s="584"/>
      <c r="I47" s="584"/>
      <c r="J47" s="584"/>
      <c r="K47" s="584"/>
      <c r="L47" s="584"/>
      <c r="M47" s="584"/>
      <c r="N47" s="584"/>
      <c r="O47" s="584"/>
      <c r="P47" s="584"/>
      <c r="Q47" s="585"/>
    </row>
    <row r="48" spans="1:17" ht="11.25" customHeight="1">
      <c r="A48" s="587"/>
      <c r="B48" s="268" t="s">
        <v>306</v>
      </c>
      <c r="C48" s="583" t="s">
        <v>490</v>
      </c>
      <c r="D48" s="584"/>
      <c r="E48" s="584"/>
      <c r="F48" s="584"/>
      <c r="G48" s="584"/>
      <c r="H48" s="584"/>
      <c r="I48" s="584"/>
      <c r="J48" s="584"/>
      <c r="K48" s="584"/>
      <c r="L48" s="584"/>
      <c r="M48" s="584"/>
      <c r="N48" s="584"/>
      <c r="O48" s="584"/>
      <c r="P48" s="584"/>
      <c r="Q48" s="585"/>
    </row>
    <row r="49" spans="1:17" ht="12.75" customHeight="1">
      <c r="A49" s="587"/>
      <c r="B49" s="268" t="s">
        <v>307</v>
      </c>
      <c r="C49" s="598" t="s">
        <v>487</v>
      </c>
      <c r="D49" s="599"/>
      <c r="E49" s="599"/>
      <c r="F49" s="599"/>
      <c r="G49" s="599"/>
      <c r="H49" s="599"/>
      <c r="I49" s="599"/>
      <c r="J49" s="599"/>
      <c r="K49" s="599"/>
      <c r="L49" s="599"/>
      <c r="M49" s="599"/>
      <c r="N49" s="599"/>
      <c r="O49" s="599"/>
      <c r="P49" s="599"/>
      <c r="Q49" s="600"/>
    </row>
    <row r="50" spans="1:17" ht="15.75" customHeight="1">
      <c r="A50" s="587"/>
      <c r="B50" s="268" t="s">
        <v>308</v>
      </c>
      <c r="C50" s="601">
        <v>312</v>
      </c>
      <c r="D50" s="607" t="s">
        <v>330</v>
      </c>
      <c r="E50" s="338">
        <f>SUM(E51:E53)</f>
        <v>10680235</v>
      </c>
      <c r="F50" s="338">
        <f>SUM(F51:F53)</f>
        <v>6878067</v>
      </c>
      <c r="G50" s="338">
        <f>SUM(G51:G53)</f>
        <v>3802168</v>
      </c>
      <c r="H50" s="341">
        <f>SUM(I50,M50)</f>
        <v>35235</v>
      </c>
      <c r="I50" s="341">
        <f>J50+K50+L50</f>
        <v>35235</v>
      </c>
      <c r="J50" s="341">
        <f>SUM(F51)</f>
        <v>35235</v>
      </c>
      <c r="K50" s="341">
        <v>0</v>
      </c>
      <c r="L50" s="341">
        <v>0</v>
      </c>
      <c r="M50" s="341">
        <f>N50+O50+P50+Q50</f>
        <v>0</v>
      </c>
      <c r="N50" s="341">
        <v>0</v>
      </c>
      <c r="O50" s="341"/>
      <c r="P50" s="341">
        <v>0</v>
      </c>
      <c r="Q50" s="341">
        <v>0</v>
      </c>
    </row>
    <row r="51" spans="1:17" ht="13.5" customHeight="1">
      <c r="A51" s="587"/>
      <c r="B51" s="268" t="s">
        <v>44</v>
      </c>
      <c r="C51" s="602"/>
      <c r="D51" s="608"/>
      <c r="E51" s="338">
        <f>SUM(F51:G51)</f>
        <v>35235</v>
      </c>
      <c r="F51" s="338">
        <v>35235</v>
      </c>
      <c r="G51" s="366">
        <v>0</v>
      </c>
      <c r="H51" s="367"/>
      <c r="I51" s="367"/>
      <c r="J51" s="367"/>
      <c r="K51" s="367"/>
      <c r="L51" s="367"/>
      <c r="M51" s="363"/>
      <c r="N51" s="368"/>
      <c r="O51" s="368"/>
      <c r="P51" s="368"/>
      <c r="Q51" s="368"/>
    </row>
    <row r="52" spans="1:17" ht="12.75" customHeight="1">
      <c r="A52" s="587"/>
      <c r="B52" s="268" t="s">
        <v>310</v>
      </c>
      <c r="C52" s="602"/>
      <c r="D52" s="608"/>
      <c r="E52" s="338">
        <f>SUM(F52,G52)</f>
        <v>5229300</v>
      </c>
      <c r="F52" s="338">
        <v>3361394</v>
      </c>
      <c r="G52" s="366">
        <v>1867906</v>
      </c>
      <c r="H52" s="369"/>
      <c r="I52" s="369"/>
      <c r="J52" s="369"/>
      <c r="K52" s="369"/>
      <c r="L52" s="369"/>
      <c r="M52" s="364"/>
      <c r="N52" s="370"/>
      <c r="O52" s="370"/>
      <c r="P52" s="370"/>
      <c r="Q52" s="370"/>
    </row>
    <row r="53" spans="1:17" ht="12.75" customHeight="1">
      <c r="A53" s="587"/>
      <c r="B53" s="268" t="s">
        <v>45</v>
      </c>
      <c r="C53" s="602"/>
      <c r="D53" s="608"/>
      <c r="E53" s="338">
        <f>SUM(F53,G53)</f>
        <v>5415700</v>
      </c>
      <c r="F53" s="338">
        <v>3481438</v>
      </c>
      <c r="G53" s="366">
        <v>1934262</v>
      </c>
      <c r="H53" s="369"/>
      <c r="I53" s="369"/>
      <c r="J53" s="369"/>
      <c r="K53" s="369"/>
      <c r="L53" s="369"/>
      <c r="M53" s="364"/>
      <c r="N53" s="370"/>
      <c r="O53" s="370"/>
      <c r="P53" s="370"/>
      <c r="Q53" s="370"/>
    </row>
    <row r="54" spans="1:17" ht="12.75" customHeight="1">
      <c r="A54" s="587"/>
      <c r="B54" s="268" t="s">
        <v>46</v>
      </c>
      <c r="C54" s="602"/>
      <c r="D54" s="608"/>
      <c r="E54" s="338">
        <f>SUM(F54,G54)</f>
        <v>0</v>
      </c>
      <c r="F54" s="338">
        <v>0</v>
      </c>
      <c r="G54" s="366">
        <v>0</v>
      </c>
      <c r="H54" s="369"/>
      <c r="I54" s="369"/>
      <c r="J54" s="369"/>
      <c r="K54" s="369"/>
      <c r="L54" s="369"/>
      <c r="M54" s="364"/>
      <c r="N54" s="370"/>
      <c r="O54" s="370"/>
      <c r="P54" s="370"/>
      <c r="Q54" s="370"/>
    </row>
    <row r="55" spans="1:17" ht="12.75" customHeight="1">
      <c r="A55" s="588"/>
      <c r="B55" s="268" t="s">
        <v>380</v>
      </c>
      <c r="C55" s="603"/>
      <c r="D55" s="609"/>
      <c r="E55" s="338">
        <f>SUM(F55,G55)</f>
        <v>0</v>
      </c>
      <c r="F55" s="338">
        <v>0</v>
      </c>
      <c r="G55" s="366">
        <v>0</v>
      </c>
      <c r="H55" s="371"/>
      <c r="I55" s="371"/>
      <c r="J55" s="371"/>
      <c r="K55" s="371"/>
      <c r="L55" s="371"/>
      <c r="M55" s="362"/>
      <c r="N55" s="372"/>
      <c r="O55" s="372"/>
      <c r="P55" s="372"/>
      <c r="Q55" s="372"/>
    </row>
    <row r="56" spans="1:17" s="265" customFormat="1" ht="16.5" customHeight="1">
      <c r="A56" s="269">
        <v>2</v>
      </c>
      <c r="B56" s="267" t="s">
        <v>313</v>
      </c>
      <c r="C56" s="595" t="s">
        <v>302</v>
      </c>
      <c r="D56" s="595"/>
      <c r="E56" s="264">
        <f>SUM(E70,E97,E79,E61,E88)</f>
        <v>3876649</v>
      </c>
      <c r="F56" s="264">
        <f aca="true" t="shared" si="2" ref="F56:Q56">SUM(F70,F97,F79,F61,F88)</f>
        <v>1209183</v>
      </c>
      <c r="G56" s="264">
        <f t="shared" si="2"/>
        <v>2667466</v>
      </c>
      <c r="H56" s="264">
        <f t="shared" si="2"/>
        <v>1763878</v>
      </c>
      <c r="I56" s="264">
        <f t="shared" si="2"/>
        <v>535152</v>
      </c>
      <c r="J56" s="264">
        <f t="shared" si="2"/>
        <v>0</v>
      </c>
      <c r="K56" s="264">
        <f t="shared" si="2"/>
        <v>0</v>
      </c>
      <c r="L56" s="264">
        <f t="shared" si="2"/>
        <v>535152</v>
      </c>
      <c r="M56" s="264">
        <f t="shared" si="2"/>
        <v>1228726</v>
      </c>
      <c r="N56" s="264">
        <f t="shared" si="2"/>
        <v>0</v>
      </c>
      <c r="O56" s="264">
        <f t="shared" si="2"/>
        <v>0</v>
      </c>
      <c r="P56" s="264">
        <f t="shared" si="2"/>
        <v>0</v>
      </c>
      <c r="Q56" s="264">
        <f t="shared" si="2"/>
        <v>1228726</v>
      </c>
    </row>
    <row r="57" spans="1:17" s="265" customFormat="1" ht="13.5" customHeight="1">
      <c r="A57" s="586" t="s">
        <v>381</v>
      </c>
      <c r="B57" s="268" t="s">
        <v>304</v>
      </c>
      <c r="C57" s="596" t="s">
        <v>318</v>
      </c>
      <c r="D57" s="604"/>
      <c r="E57" s="604"/>
      <c r="F57" s="604"/>
      <c r="G57" s="604"/>
      <c r="H57" s="604"/>
      <c r="I57" s="604"/>
      <c r="J57" s="604"/>
      <c r="K57" s="604"/>
      <c r="L57" s="604"/>
      <c r="M57" s="604"/>
      <c r="N57" s="604"/>
      <c r="O57" s="604"/>
      <c r="P57" s="604"/>
      <c r="Q57" s="604"/>
    </row>
    <row r="58" spans="1:17" s="265" customFormat="1" ht="13.5" customHeight="1">
      <c r="A58" s="587"/>
      <c r="B58" s="268" t="s">
        <v>305</v>
      </c>
      <c r="C58" s="596" t="s">
        <v>319</v>
      </c>
      <c r="D58" s="604"/>
      <c r="E58" s="604"/>
      <c r="F58" s="604"/>
      <c r="G58" s="604"/>
      <c r="H58" s="604"/>
      <c r="I58" s="604"/>
      <c r="J58" s="604"/>
      <c r="K58" s="604"/>
      <c r="L58" s="604"/>
      <c r="M58" s="604"/>
      <c r="N58" s="604"/>
      <c r="O58" s="604"/>
      <c r="P58" s="604"/>
      <c r="Q58" s="604"/>
    </row>
    <row r="59" spans="1:17" s="265" customFormat="1" ht="13.5" customHeight="1">
      <c r="A59" s="587"/>
      <c r="B59" s="268" t="s">
        <v>306</v>
      </c>
      <c r="C59" s="596" t="s">
        <v>320</v>
      </c>
      <c r="D59" s="604"/>
      <c r="E59" s="604"/>
      <c r="F59" s="604"/>
      <c r="G59" s="604"/>
      <c r="H59" s="604"/>
      <c r="I59" s="604"/>
      <c r="J59" s="604"/>
      <c r="K59" s="604"/>
      <c r="L59" s="604"/>
      <c r="M59" s="604"/>
      <c r="N59" s="604"/>
      <c r="O59" s="604"/>
      <c r="P59" s="604"/>
      <c r="Q59" s="604"/>
    </row>
    <row r="60" spans="1:17" s="265" customFormat="1" ht="13.5" customHeight="1">
      <c r="A60" s="587"/>
      <c r="B60" s="268" t="s">
        <v>307</v>
      </c>
      <c r="C60" s="598" t="s">
        <v>469</v>
      </c>
      <c r="D60" s="605"/>
      <c r="E60" s="605"/>
      <c r="F60" s="605"/>
      <c r="G60" s="605"/>
      <c r="H60" s="605"/>
      <c r="I60" s="605"/>
      <c r="J60" s="605"/>
      <c r="K60" s="605"/>
      <c r="L60" s="605"/>
      <c r="M60" s="605"/>
      <c r="N60" s="605"/>
      <c r="O60" s="605"/>
      <c r="P60" s="605"/>
      <c r="Q60" s="606"/>
    </row>
    <row r="61" spans="1:17" s="265" customFormat="1" ht="11.25" customHeight="1">
      <c r="A61" s="587"/>
      <c r="B61" s="268" t="s">
        <v>308</v>
      </c>
      <c r="C61" s="592">
        <v>23</v>
      </c>
      <c r="D61" s="220"/>
      <c r="E61" s="410">
        <f>SUM(E62:E64)</f>
        <v>1378110</v>
      </c>
      <c r="F61" s="410">
        <f>SUM(F62:F64)</f>
        <v>487791</v>
      </c>
      <c r="G61" s="410">
        <f>SUM(G62:G64)</f>
        <v>890319</v>
      </c>
      <c r="H61" s="410">
        <f>SUM(I61,M61)</f>
        <v>6711</v>
      </c>
      <c r="I61" s="410">
        <f>J61+K61+L61</f>
        <v>2148</v>
      </c>
      <c r="J61" s="410">
        <v>0</v>
      </c>
      <c r="K61" s="410">
        <v>0</v>
      </c>
      <c r="L61" s="410">
        <v>2148</v>
      </c>
      <c r="M61" s="410">
        <f>N61+O61+P61+Q61</f>
        <v>4563</v>
      </c>
      <c r="N61" s="410">
        <v>0</v>
      </c>
      <c r="O61" s="410">
        <v>0</v>
      </c>
      <c r="P61" s="410">
        <v>0</v>
      </c>
      <c r="Q61" s="410">
        <v>4563</v>
      </c>
    </row>
    <row r="62" spans="1:17" s="265" customFormat="1" ht="11.25" customHeight="1">
      <c r="A62" s="587"/>
      <c r="B62" s="268" t="s">
        <v>466</v>
      </c>
      <c r="C62" s="593"/>
      <c r="D62" s="408" t="s">
        <v>470</v>
      </c>
      <c r="E62" s="410">
        <f>SUM(F62,G62)</f>
        <v>275922</v>
      </c>
      <c r="F62" s="410">
        <v>88295</v>
      </c>
      <c r="G62" s="410">
        <v>187627</v>
      </c>
      <c r="H62" s="411"/>
      <c r="I62" s="411"/>
      <c r="J62" s="411"/>
      <c r="K62" s="411"/>
      <c r="L62" s="411"/>
      <c r="M62" s="411"/>
      <c r="N62" s="411"/>
      <c r="O62" s="411"/>
      <c r="P62" s="411"/>
      <c r="Q62" s="411"/>
    </row>
    <row r="63" spans="1:17" s="265" customFormat="1" ht="21.75" customHeight="1">
      <c r="A63" s="588"/>
      <c r="B63" s="268" t="s">
        <v>467</v>
      </c>
      <c r="C63" s="594"/>
      <c r="D63" s="409" t="s">
        <v>471</v>
      </c>
      <c r="E63" s="410">
        <f>SUM(F63:G63)</f>
        <v>1095477</v>
      </c>
      <c r="F63" s="410">
        <f>328530+68817+1</f>
        <v>397348</v>
      </c>
      <c r="G63" s="410">
        <f>698130-1</f>
        <v>698129</v>
      </c>
      <c r="H63" s="412"/>
      <c r="I63" s="412"/>
      <c r="J63" s="412"/>
      <c r="K63" s="412"/>
      <c r="L63" s="412"/>
      <c r="M63" s="412"/>
      <c r="N63" s="412"/>
      <c r="O63" s="412"/>
      <c r="P63" s="412"/>
      <c r="Q63" s="412"/>
    </row>
    <row r="64" spans="1:17" s="265" customFormat="1" ht="11.25" customHeight="1">
      <c r="A64" s="586" t="s">
        <v>381</v>
      </c>
      <c r="B64" s="268" t="s">
        <v>309</v>
      </c>
      <c r="C64" s="406"/>
      <c r="D64" s="408"/>
      <c r="E64" s="410">
        <f>SUM(F64,G64)</f>
        <v>6711</v>
      </c>
      <c r="F64" s="410">
        <f>SUM(I61)</f>
        <v>2148</v>
      </c>
      <c r="G64" s="410">
        <f>SUM(M61)</f>
        <v>4563</v>
      </c>
      <c r="H64" s="411"/>
      <c r="I64" s="411"/>
      <c r="J64" s="411"/>
      <c r="K64" s="411"/>
      <c r="L64" s="411"/>
      <c r="M64" s="411"/>
      <c r="N64" s="411"/>
      <c r="O64" s="411"/>
      <c r="P64" s="411"/>
      <c r="Q64" s="411"/>
    </row>
    <row r="65" spans="1:17" s="265" customFormat="1" ht="11.25" customHeight="1">
      <c r="A65" s="588"/>
      <c r="B65" s="268" t="s">
        <v>310</v>
      </c>
      <c r="C65" s="407"/>
      <c r="D65" s="409"/>
      <c r="E65" s="410">
        <f>SUM(F65,G65)</f>
        <v>0</v>
      </c>
      <c r="F65" s="410"/>
      <c r="G65" s="410"/>
      <c r="H65" s="412"/>
      <c r="I65" s="412"/>
      <c r="J65" s="412"/>
      <c r="K65" s="412"/>
      <c r="L65" s="412"/>
      <c r="M65" s="412"/>
      <c r="N65" s="412"/>
      <c r="O65" s="412"/>
      <c r="P65" s="412"/>
      <c r="Q65" s="412"/>
    </row>
    <row r="66" spans="1:17" ht="15" customHeight="1">
      <c r="A66" s="586" t="s">
        <v>314</v>
      </c>
      <c r="B66" s="268" t="s">
        <v>304</v>
      </c>
      <c r="C66" s="596" t="s">
        <v>318</v>
      </c>
      <c r="D66" s="597"/>
      <c r="E66" s="597"/>
      <c r="F66" s="597"/>
      <c r="G66" s="597"/>
      <c r="H66" s="597"/>
      <c r="I66" s="597"/>
      <c r="J66" s="597"/>
      <c r="K66" s="597"/>
      <c r="L66" s="597"/>
      <c r="M66" s="597"/>
      <c r="N66" s="597"/>
      <c r="O66" s="597"/>
      <c r="P66" s="597"/>
      <c r="Q66" s="597"/>
    </row>
    <row r="67" spans="1:17" ht="13.5" customHeight="1">
      <c r="A67" s="587"/>
      <c r="B67" s="268" t="s">
        <v>305</v>
      </c>
      <c r="C67" s="596" t="s">
        <v>319</v>
      </c>
      <c r="D67" s="597"/>
      <c r="E67" s="597"/>
      <c r="F67" s="597"/>
      <c r="G67" s="597"/>
      <c r="H67" s="597"/>
      <c r="I67" s="597"/>
      <c r="J67" s="597"/>
      <c r="K67" s="597"/>
      <c r="L67" s="597"/>
      <c r="M67" s="597"/>
      <c r="N67" s="597"/>
      <c r="O67" s="597"/>
      <c r="P67" s="597"/>
      <c r="Q67" s="597"/>
    </row>
    <row r="68" spans="1:17" ht="12.75" customHeight="1">
      <c r="A68" s="587"/>
      <c r="B68" s="268" t="s">
        <v>306</v>
      </c>
      <c r="C68" s="596" t="s">
        <v>320</v>
      </c>
      <c r="D68" s="597"/>
      <c r="E68" s="597"/>
      <c r="F68" s="597"/>
      <c r="G68" s="597"/>
      <c r="H68" s="597"/>
      <c r="I68" s="597"/>
      <c r="J68" s="597"/>
      <c r="K68" s="597"/>
      <c r="L68" s="597"/>
      <c r="M68" s="597"/>
      <c r="N68" s="597"/>
      <c r="O68" s="597"/>
      <c r="P68" s="597"/>
      <c r="Q68" s="597"/>
    </row>
    <row r="69" spans="1:17" ht="12.75" customHeight="1">
      <c r="A69" s="587"/>
      <c r="B69" s="268" t="s">
        <v>307</v>
      </c>
      <c r="C69" s="598" t="s">
        <v>37</v>
      </c>
      <c r="D69" s="599"/>
      <c r="E69" s="599"/>
      <c r="F69" s="599"/>
      <c r="G69" s="599"/>
      <c r="H69" s="599"/>
      <c r="I69" s="599"/>
      <c r="J69" s="599"/>
      <c r="K69" s="599"/>
      <c r="L69" s="599"/>
      <c r="M69" s="599"/>
      <c r="N69" s="599"/>
      <c r="O69" s="599"/>
      <c r="P69" s="599"/>
      <c r="Q69" s="600"/>
    </row>
    <row r="70" spans="1:17" ht="11.25">
      <c r="A70" s="587"/>
      <c r="B70" s="268" t="s">
        <v>308</v>
      </c>
      <c r="C70" s="268"/>
      <c r="D70" s="268"/>
      <c r="E70" s="361">
        <v>805500</v>
      </c>
      <c r="F70" s="361">
        <v>257760</v>
      </c>
      <c r="G70" s="361">
        <v>547740</v>
      </c>
      <c r="H70" s="361">
        <f>SUM(I70,M70)</f>
        <v>488100</v>
      </c>
      <c r="I70" s="361">
        <f>J70+K70+L70</f>
        <v>156192</v>
      </c>
      <c r="J70" s="361">
        <v>0</v>
      </c>
      <c r="K70" s="361">
        <v>0</v>
      </c>
      <c r="L70" s="361">
        <f>154656+1536</f>
        <v>156192</v>
      </c>
      <c r="M70" s="361">
        <f>N70+O70+P70+Q70</f>
        <v>331908</v>
      </c>
      <c r="N70" s="361">
        <v>0</v>
      </c>
      <c r="O70" s="361">
        <v>0</v>
      </c>
      <c r="P70" s="361">
        <v>0</v>
      </c>
      <c r="Q70" s="361">
        <f>328644+3264</f>
        <v>331908</v>
      </c>
    </row>
    <row r="71" spans="1:17" ht="11.25">
      <c r="A71" s="587"/>
      <c r="B71" s="268" t="s">
        <v>44</v>
      </c>
      <c r="C71" s="586">
        <v>23</v>
      </c>
      <c r="D71" s="589" t="s">
        <v>321</v>
      </c>
      <c r="E71" s="361">
        <f>SUM(F71,G71)</f>
        <v>488100</v>
      </c>
      <c r="F71" s="361">
        <f>SUM(I70)</f>
        <v>156192</v>
      </c>
      <c r="G71" s="361">
        <f>SUM(M70)</f>
        <v>331908</v>
      </c>
      <c r="H71" s="579"/>
      <c r="I71" s="579"/>
      <c r="J71" s="579"/>
      <c r="K71" s="579"/>
      <c r="L71" s="579"/>
      <c r="M71" s="579"/>
      <c r="N71" s="579"/>
      <c r="O71" s="579"/>
      <c r="P71" s="579"/>
      <c r="Q71" s="579"/>
    </row>
    <row r="72" spans="1:17" ht="11.25">
      <c r="A72" s="587"/>
      <c r="B72" s="268" t="s">
        <v>310</v>
      </c>
      <c r="C72" s="587"/>
      <c r="D72" s="590"/>
      <c r="E72" s="361">
        <v>0</v>
      </c>
      <c r="F72" s="361">
        <v>0</v>
      </c>
      <c r="G72" s="361">
        <v>0</v>
      </c>
      <c r="H72" s="580"/>
      <c r="I72" s="580"/>
      <c r="J72" s="580"/>
      <c r="K72" s="580"/>
      <c r="L72" s="580"/>
      <c r="M72" s="580"/>
      <c r="N72" s="580"/>
      <c r="O72" s="580"/>
      <c r="P72" s="580"/>
      <c r="Q72" s="580"/>
    </row>
    <row r="73" spans="1:17" ht="11.25">
      <c r="A73" s="587"/>
      <c r="B73" s="268" t="s">
        <v>45</v>
      </c>
      <c r="C73" s="587"/>
      <c r="D73" s="590"/>
      <c r="E73" s="361">
        <v>0</v>
      </c>
      <c r="F73" s="361">
        <v>0</v>
      </c>
      <c r="G73" s="361">
        <v>0</v>
      </c>
      <c r="H73" s="580"/>
      <c r="I73" s="580"/>
      <c r="J73" s="580"/>
      <c r="K73" s="580"/>
      <c r="L73" s="580"/>
      <c r="M73" s="580"/>
      <c r="N73" s="580"/>
      <c r="O73" s="580"/>
      <c r="P73" s="580"/>
      <c r="Q73" s="580"/>
    </row>
    <row r="74" spans="1:17" ht="10.5" customHeight="1">
      <c r="A74" s="587"/>
      <c r="B74" s="268" t="s">
        <v>46</v>
      </c>
      <c r="C74" s="588"/>
      <c r="D74" s="591"/>
      <c r="E74" s="361">
        <f>SUM(F74,G74)</f>
        <v>0</v>
      </c>
      <c r="F74" s="361"/>
      <c r="G74" s="361"/>
      <c r="H74" s="581"/>
      <c r="I74" s="581"/>
      <c r="J74" s="581"/>
      <c r="K74" s="581"/>
      <c r="L74" s="581"/>
      <c r="M74" s="581"/>
      <c r="N74" s="581"/>
      <c r="O74" s="581"/>
      <c r="P74" s="581"/>
      <c r="Q74" s="581"/>
    </row>
    <row r="75" spans="1:17" ht="12" customHeight="1">
      <c r="A75" s="586" t="s">
        <v>382</v>
      </c>
      <c r="B75" s="340" t="s">
        <v>304</v>
      </c>
      <c r="C75" s="598" t="s">
        <v>318</v>
      </c>
      <c r="D75" s="599"/>
      <c r="E75" s="599"/>
      <c r="F75" s="599"/>
      <c r="G75" s="599"/>
      <c r="H75" s="599"/>
      <c r="I75" s="599"/>
      <c r="J75" s="599"/>
      <c r="K75" s="599"/>
      <c r="L75" s="599"/>
      <c r="M75" s="599"/>
      <c r="N75" s="599"/>
      <c r="O75" s="599"/>
      <c r="P75" s="599"/>
      <c r="Q75" s="600"/>
    </row>
    <row r="76" spans="1:17" ht="12.75">
      <c r="A76" s="587"/>
      <c r="B76" s="340" t="s">
        <v>305</v>
      </c>
      <c r="C76" s="598" t="s">
        <v>319</v>
      </c>
      <c r="D76" s="599"/>
      <c r="E76" s="599"/>
      <c r="F76" s="599"/>
      <c r="G76" s="599"/>
      <c r="H76" s="599"/>
      <c r="I76" s="599"/>
      <c r="J76" s="599"/>
      <c r="K76" s="599"/>
      <c r="L76" s="599"/>
      <c r="M76" s="599"/>
      <c r="N76" s="599"/>
      <c r="O76" s="599"/>
      <c r="P76" s="599"/>
      <c r="Q76" s="600"/>
    </row>
    <row r="77" spans="1:17" ht="12.75">
      <c r="A77" s="587"/>
      <c r="B77" s="340" t="s">
        <v>306</v>
      </c>
      <c r="C77" s="598" t="s">
        <v>320</v>
      </c>
      <c r="D77" s="599"/>
      <c r="E77" s="599"/>
      <c r="F77" s="599"/>
      <c r="G77" s="599"/>
      <c r="H77" s="599"/>
      <c r="I77" s="599"/>
      <c r="J77" s="599"/>
      <c r="K77" s="599"/>
      <c r="L77" s="599"/>
      <c r="M77" s="599"/>
      <c r="N77" s="599"/>
      <c r="O77" s="599"/>
      <c r="P77" s="599"/>
      <c r="Q77" s="600"/>
    </row>
    <row r="78" spans="1:17" ht="12.75">
      <c r="A78" s="587"/>
      <c r="B78" s="340" t="s">
        <v>307</v>
      </c>
      <c r="C78" s="598" t="s">
        <v>38</v>
      </c>
      <c r="D78" s="599"/>
      <c r="E78" s="599"/>
      <c r="F78" s="599"/>
      <c r="G78" s="599"/>
      <c r="H78" s="599"/>
      <c r="I78" s="599"/>
      <c r="J78" s="599"/>
      <c r="K78" s="599"/>
      <c r="L78" s="599"/>
      <c r="M78" s="599"/>
      <c r="N78" s="599"/>
      <c r="O78" s="599"/>
      <c r="P78" s="599"/>
      <c r="Q78" s="600"/>
    </row>
    <row r="79" spans="1:17" ht="11.25">
      <c r="A79" s="588"/>
      <c r="B79" s="340" t="s">
        <v>308</v>
      </c>
      <c r="C79" s="220"/>
      <c r="D79" s="220"/>
      <c r="E79" s="361">
        <f>SUM(F79:G79)</f>
        <v>678282</v>
      </c>
      <c r="F79" s="361">
        <f>F80+7023</f>
        <v>205180</v>
      </c>
      <c r="G79" s="361">
        <f>G80+21068</f>
        <v>473102</v>
      </c>
      <c r="H79" s="361">
        <f>SUM(I79,M79)</f>
        <v>650191</v>
      </c>
      <c r="I79" s="361">
        <f>J79+K79+L79</f>
        <v>198157</v>
      </c>
      <c r="J79" s="361"/>
      <c r="K79" s="361"/>
      <c r="L79" s="361">
        <f>150677+47480</f>
        <v>198157</v>
      </c>
      <c r="M79" s="361">
        <f>N79+O79+P79+Q79</f>
        <v>452034</v>
      </c>
      <c r="N79" s="361"/>
      <c r="O79" s="361"/>
      <c r="P79" s="361"/>
      <c r="Q79" s="361">
        <v>452034</v>
      </c>
    </row>
    <row r="80" spans="1:17" ht="11.25">
      <c r="A80" s="586" t="s">
        <v>382</v>
      </c>
      <c r="B80" s="268" t="s">
        <v>44</v>
      </c>
      <c r="C80" s="592">
        <v>23</v>
      </c>
      <c r="D80" s="614" t="s">
        <v>322</v>
      </c>
      <c r="E80" s="361">
        <f>SUM(F80,G80)</f>
        <v>650191</v>
      </c>
      <c r="F80" s="361">
        <f>SUM(L79)</f>
        <v>198157</v>
      </c>
      <c r="G80" s="361">
        <f>SUM(Q79)</f>
        <v>452034</v>
      </c>
      <c r="H80" s="579"/>
      <c r="I80" s="579"/>
      <c r="J80" s="579"/>
      <c r="K80" s="579"/>
      <c r="L80" s="579"/>
      <c r="M80" s="579"/>
      <c r="N80" s="579"/>
      <c r="O80" s="579"/>
      <c r="P80" s="579"/>
      <c r="Q80" s="579"/>
    </row>
    <row r="81" spans="1:17" ht="11.25">
      <c r="A81" s="587"/>
      <c r="B81" s="268" t="s">
        <v>310</v>
      </c>
      <c r="C81" s="593"/>
      <c r="D81" s="615"/>
      <c r="E81" s="361">
        <v>0</v>
      </c>
      <c r="F81" s="361">
        <v>0</v>
      </c>
      <c r="G81" s="361">
        <v>0</v>
      </c>
      <c r="H81" s="580"/>
      <c r="I81" s="580"/>
      <c r="J81" s="580"/>
      <c r="K81" s="580"/>
      <c r="L81" s="580"/>
      <c r="M81" s="580"/>
      <c r="N81" s="580"/>
      <c r="O81" s="580"/>
      <c r="P81" s="580"/>
      <c r="Q81" s="580"/>
    </row>
    <row r="82" spans="1:17" ht="11.25">
      <c r="A82" s="587"/>
      <c r="B82" s="268" t="s">
        <v>45</v>
      </c>
      <c r="C82" s="593"/>
      <c r="D82" s="615"/>
      <c r="E82" s="361">
        <v>0</v>
      </c>
      <c r="F82" s="361">
        <v>0</v>
      </c>
      <c r="G82" s="361">
        <v>0</v>
      </c>
      <c r="H82" s="580"/>
      <c r="I82" s="580"/>
      <c r="J82" s="580"/>
      <c r="K82" s="580"/>
      <c r="L82" s="580"/>
      <c r="M82" s="580"/>
      <c r="N82" s="580"/>
      <c r="O82" s="580"/>
      <c r="P82" s="580"/>
      <c r="Q82" s="580"/>
    </row>
    <row r="83" spans="1:17" ht="9.75" customHeight="1">
      <c r="A83" s="588"/>
      <c r="B83" s="268" t="s">
        <v>46</v>
      </c>
      <c r="C83" s="594"/>
      <c r="D83" s="616"/>
      <c r="E83" s="361">
        <f>SUM(F83,G83)</f>
        <v>0</v>
      </c>
      <c r="F83" s="361">
        <v>0</v>
      </c>
      <c r="G83" s="361">
        <v>0</v>
      </c>
      <c r="H83" s="581"/>
      <c r="I83" s="581"/>
      <c r="J83" s="581"/>
      <c r="K83" s="581"/>
      <c r="L83" s="581"/>
      <c r="M83" s="581"/>
      <c r="N83" s="581"/>
      <c r="O83" s="581"/>
      <c r="P83" s="581"/>
      <c r="Q83" s="581"/>
    </row>
    <row r="84" spans="1:17" ht="10.5" customHeight="1">
      <c r="A84" s="582" t="s">
        <v>468</v>
      </c>
      <c r="B84" s="268" t="s">
        <v>304</v>
      </c>
      <c r="C84" s="583" t="s">
        <v>39</v>
      </c>
      <c r="D84" s="584"/>
      <c r="E84" s="584"/>
      <c r="F84" s="584"/>
      <c r="G84" s="584"/>
      <c r="H84" s="584"/>
      <c r="I84" s="584"/>
      <c r="J84" s="584"/>
      <c r="K84" s="584"/>
      <c r="L84" s="584"/>
      <c r="M84" s="584"/>
      <c r="N84" s="584"/>
      <c r="O84" s="584"/>
      <c r="P84" s="584"/>
      <c r="Q84" s="585"/>
    </row>
    <row r="85" spans="1:17" ht="12.75">
      <c r="A85" s="582"/>
      <c r="B85" s="268" t="s">
        <v>305</v>
      </c>
      <c r="C85" s="583" t="s">
        <v>40</v>
      </c>
      <c r="D85" s="584"/>
      <c r="E85" s="584"/>
      <c r="F85" s="584"/>
      <c r="G85" s="584"/>
      <c r="H85" s="584"/>
      <c r="I85" s="584"/>
      <c r="J85" s="584"/>
      <c r="K85" s="584"/>
      <c r="L85" s="584"/>
      <c r="M85" s="584"/>
      <c r="N85" s="584"/>
      <c r="O85" s="584"/>
      <c r="P85" s="584"/>
      <c r="Q85" s="585"/>
    </row>
    <row r="86" spans="1:17" ht="12.75">
      <c r="A86" s="582"/>
      <c r="B86" s="268" t="s">
        <v>306</v>
      </c>
      <c r="C86" s="583" t="s">
        <v>41</v>
      </c>
      <c r="D86" s="584"/>
      <c r="E86" s="584"/>
      <c r="F86" s="584"/>
      <c r="G86" s="584"/>
      <c r="H86" s="584"/>
      <c r="I86" s="584"/>
      <c r="J86" s="584"/>
      <c r="K86" s="584"/>
      <c r="L86" s="584"/>
      <c r="M86" s="584"/>
      <c r="N86" s="584"/>
      <c r="O86" s="584"/>
      <c r="P86" s="584"/>
      <c r="Q86" s="585"/>
    </row>
    <row r="87" spans="1:17" ht="12.75">
      <c r="A87" s="582"/>
      <c r="B87" s="268" t="s">
        <v>307</v>
      </c>
      <c r="C87" s="583" t="s">
        <v>42</v>
      </c>
      <c r="D87" s="584"/>
      <c r="E87" s="584"/>
      <c r="F87" s="584"/>
      <c r="G87" s="584"/>
      <c r="H87" s="584"/>
      <c r="I87" s="584"/>
      <c r="J87" s="584"/>
      <c r="K87" s="584"/>
      <c r="L87" s="584"/>
      <c r="M87" s="584"/>
      <c r="N87" s="584"/>
      <c r="O87" s="584"/>
      <c r="P87" s="584"/>
      <c r="Q87" s="585"/>
    </row>
    <row r="88" spans="1:17" ht="11.25">
      <c r="A88" s="582"/>
      <c r="B88" s="268" t="s">
        <v>308</v>
      </c>
      <c r="C88" s="268"/>
      <c r="D88" s="268"/>
      <c r="E88" s="361">
        <f>SUM(F88,G88)</f>
        <v>1013186</v>
      </c>
      <c r="F88" s="361">
        <v>258452</v>
      </c>
      <c r="G88" s="361">
        <v>754734</v>
      </c>
      <c r="H88" s="361">
        <f>SUM(I88,M88)</f>
        <v>617305</v>
      </c>
      <c r="I88" s="361">
        <f>J88+K88+L88</f>
        <v>178655</v>
      </c>
      <c r="J88" s="361">
        <v>0</v>
      </c>
      <c r="K88" s="361">
        <v>0</v>
      </c>
      <c r="L88" s="361">
        <v>178655</v>
      </c>
      <c r="M88" s="361">
        <f>N88+O88+P88+Q88</f>
        <v>438650</v>
      </c>
      <c r="N88" s="361">
        <v>0</v>
      </c>
      <c r="O88" s="361">
        <v>0</v>
      </c>
      <c r="P88" s="361">
        <v>0</v>
      </c>
      <c r="Q88" s="361">
        <f>379636+59014</f>
        <v>438650</v>
      </c>
    </row>
    <row r="89" spans="1:17" ht="11.25">
      <c r="A89" s="582"/>
      <c r="B89" s="268" t="s">
        <v>44</v>
      </c>
      <c r="C89" s="586">
        <v>22</v>
      </c>
      <c r="D89" s="589" t="s">
        <v>43</v>
      </c>
      <c r="E89" s="361">
        <f>SUM(F89,G89)</f>
        <v>617305</v>
      </c>
      <c r="F89" s="361">
        <f>SUM(I88)</f>
        <v>178655</v>
      </c>
      <c r="G89" s="361">
        <f>SUM(M88)</f>
        <v>438650</v>
      </c>
      <c r="H89" s="579"/>
      <c r="I89" s="579"/>
      <c r="J89" s="579"/>
      <c r="K89" s="579"/>
      <c r="L89" s="579"/>
      <c r="M89" s="579"/>
      <c r="N89" s="579"/>
      <c r="O89" s="579"/>
      <c r="P89" s="579"/>
      <c r="Q89" s="579"/>
    </row>
    <row r="90" spans="1:17" ht="11.25">
      <c r="A90" s="582"/>
      <c r="B90" s="268" t="s">
        <v>310</v>
      </c>
      <c r="C90" s="587"/>
      <c r="D90" s="590"/>
      <c r="E90" s="361"/>
      <c r="F90" s="361"/>
      <c r="G90" s="361"/>
      <c r="H90" s="580"/>
      <c r="I90" s="580"/>
      <c r="J90" s="580"/>
      <c r="K90" s="580"/>
      <c r="L90" s="580"/>
      <c r="M90" s="580"/>
      <c r="N90" s="580"/>
      <c r="O90" s="580"/>
      <c r="P90" s="580"/>
      <c r="Q90" s="580"/>
    </row>
    <row r="91" spans="1:17" ht="11.25">
      <c r="A91" s="582"/>
      <c r="B91" s="268" t="s">
        <v>45</v>
      </c>
      <c r="C91" s="587"/>
      <c r="D91" s="590"/>
      <c r="E91" s="361"/>
      <c r="F91" s="361"/>
      <c r="G91" s="361"/>
      <c r="H91" s="580"/>
      <c r="I91" s="580"/>
      <c r="J91" s="580"/>
      <c r="K91" s="580"/>
      <c r="L91" s="580"/>
      <c r="M91" s="580"/>
      <c r="N91" s="580"/>
      <c r="O91" s="580"/>
      <c r="P91" s="580"/>
      <c r="Q91" s="580"/>
    </row>
    <row r="92" spans="1:17" ht="11.25" customHeight="1">
      <c r="A92" s="582"/>
      <c r="B92" s="268" t="s">
        <v>46</v>
      </c>
      <c r="C92" s="588"/>
      <c r="D92" s="591"/>
      <c r="E92" s="361">
        <f>SUM(F92,G92)</f>
        <v>0</v>
      </c>
      <c r="F92" s="361"/>
      <c r="G92" s="361"/>
      <c r="H92" s="581"/>
      <c r="I92" s="581"/>
      <c r="J92" s="581"/>
      <c r="K92" s="581"/>
      <c r="L92" s="581"/>
      <c r="M92" s="581"/>
      <c r="N92" s="581"/>
      <c r="O92" s="581"/>
      <c r="P92" s="581"/>
      <c r="Q92" s="581"/>
    </row>
    <row r="93" spans="1:17" ht="10.5" customHeight="1">
      <c r="A93" s="582" t="s">
        <v>515</v>
      </c>
      <c r="B93" s="268" t="s">
        <v>304</v>
      </c>
      <c r="C93" s="583" t="s">
        <v>520</v>
      </c>
      <c r="D93" s="584"/>
      <c r="E93" s="584"/>
      <c r="F93" s="584"/>
      <c r="G93" s="584"/>
      <c r="H93" s="584"/>
      <c r="I93" s="584"/>
      <c r="J93" s="584"/>
      <c r="K93" s="584"/>
      <c r="L93" s="584"/>
      <c r="M93" s="584"/>
      <c r="N93" s="584"/>
      <c r="O93" s="584"/>
      <c r="P93" s="584"/>
      <c r="Q93" s="585"/>
    </row>
    <row r="94" spans="1:17" ht="12.75">
      <c r="A94" s="582"/>
      <c r="B94" s="268" t="s">
        <v>305</v>
      </c>
      <c r="C94" s="583" t="s">
        <v>188</v>
      </c>
      <c r="D94" s="584"/>
      <c r="E94" s="584"/>
      <c r="F94" s="584"/>
      <c r="G94" s="584"/>
      <c r="H94" s="584"/>
      <c r="I94" s="584"/>
      <c r="J94" s="584"/>
      <c r="K94" s="584"/>
      <c r="L94" s="584"/>
      <c r="M94" s="584"/>
      <c r="N94" s="584"/>
      <c r="O94" s="584"/>
      <c r="P94" s="584"/>
      <c r="Q94" s="585"/>
    </row>
    <row r="95" spans="1:17" ht="12.75">
      <c r="A95" s="582"/>
      <c r="B95" s="268" t="s">
        <v>306</v>
      </c>
      <c r="C95" s="583" t="s">
        <v>188</v>
      </c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5"/>
    </row>
    <row r="96" spans="1:17" ht="12.75">
      <c r="A96" s="582"/>
      <c r="B96" s="268" t="s">
        <v>307</v>
      </c>
      <c r="C96" s="583" t="s">
        <v>517</v>
      </c>
      <c r="D96" s="584"/>
      <c r="E96" s="584"/>
      <c r="F96" s="584"/>
      <c r="G96" s="584"/>
      <c r="H96" s="584"/>
      <c r="I96" s="584"/>
      <c r="J96" s="584"/>
      <c r="K96" s="584"/>
      <c r="L96" s="584"/>
      <c r="M96" s="584"/>
      <c r="N96" s="584"/>
      <c r="O96" s="584"/>
      <c r="P96" s="584"/>
      <c r="Q96" s="585"/>
    </row>
    <row r="97" spans="1:17" ht="11.25">
      <c r="A97" s="582"/>
      <c r="B97" s="268" t="s">
        <v>308</v>
      </c>
      <c r="C97" s="268"/>
      <c r="D97" s="268"/>
      <c r="E97" s="361">
        <f>SUM(F97,G97)</f>
        <v>1571</v>
      </c>
      <c r="F97" s="361">
        <v>0</v>
      </c>
      <c r="G97" s="361">
        <v>1571</v>
      </c>
      <c r="H97" s="361">
        <f>SUM(I97,M97)</f>
        <v>1571</v>
      </c>
      <c r="I97" s="361">
        <f>J97+K97+L97</f>
        <v>0</v>
      </c>
      <c r="J97" s="361">
        <v>0</v>
      </c>
      <c r="K97" s="361">
        <v>0</v>
      </c>
      <c r="L97" s="361">
        <v>0</v>
      </c>
      <c r="M97" s="361">
        <f>N97+O97+P97+Q97</f>
        <v>1571</v>
      </c>
      <c r="N97" s="361">
        <v>0</v>
      </c>
      <c r="O97" s="361">
        <v>0</v>
      </c>
      <c r="P97" s="361">
        <v>0</v>
      </c>
      <c r="Q97" s="361">
        <v>1571</v>
      </c>
    </row>
    <row r="98" spans="1:17" ht="11.25">
      <c r="A98" s="582"/>
      <c r="B98" s="268" t="s">
        <v>44</v>
      </c>
      <c r="C98" s="586">
        <v>22</v>
      </c>
      <c r="D98" s="589" t="s">
        <v>516</v>
      </c>
      <c r="E98" s="361">
        <f>SUM(F98,G98)</f>
        <v>1571</v>
      </c>
      <c r="F98" s="361">
        <v>0</v>
      </c>
      <c r="G98" s="361">
        <v>1571</v>
      </c>
      <c r="H98" s="579"/>
      <c r="I98" s="579"/>
      <c r="J98" s="579"/>
      <c r="K98" s="579"/>
      <c r="L98" s="579"/>
      <c r="M98" s="579"/>
      <c r="N98" s="579"/>
      <c r="O98" s="579"/>
      <c r="P98" s="579"/>
      <c r="Q98" s="579"/>
    </row>
    <row r="99" spans="1:17" ht="11.25">
      <c r="A99" s="582"/>
      <c r="B99" s="268" t="s">
        <v>310</v>
      </c>
      <c r="C99" s="587"/>
      <c r="D99" s="590"/>
      <c r="E99" s="361"/>
      <c r="F99" s="361"/>
      <c r="G99" s="361"/>
      <c r="H99" s="580"/>
      <c r="I99" s="580"/>
      <c r="J99" s="580"/>
      <c r="K99" s="580"/>
      <c r="L99" s="580"/>
      <c r="M99" s="580"/>
      <c r="N99" s="580"/>
      <c r="O99" s="580"/>
      <c r="P99" s="580"/>
      <c r="Q99" s="580"/>
    </row>
    <row r="100" spans="1:17" ht="11.25">
      <c r="A100" s="582"/>
      <c r="B100" s="268" t="s">
        <v>45</v>
      </c>
      <c r="C100" s="587"/>
      <c r="D100" s="590"/>
      <c r="E100" s="361"/>
      <c r="F100" s="361"/>
      <c r="G100" s="361"/>
      <c r="H100" s="580"/>
      <c r="I100" s="580"/>
      <c r="J100" s="580"/>
      <c r="K100" s="580"/>
      <c r="L100" s="580"/>
      <c r="M100" s="580"/>
      <c r="N100" s="580"/>
      <c r="O100" s="580"/>
      <c r="P100" s="580"/>
      <c r="Q100" s="580"/>
    </row>
    <row r="101" spans="1:17" ht="11.25" customHeight="1">
      <c r="A101" s="582"/>
      <c r="B101" s="268" t="s">
        <v>46</v>
      </c>
      <c r="C101" s="588"/>
      <c r="D101" s="591"/>
      <c r="E101" s="361">
        <f>SUM(F101,G101)</f>
        <v>0</v>
      </c>
      <c r="F101" s="361"/>
      <c r="G101" s="361"/>
      <c r="H101" s="581"/>
      <c r="I101" s="581"/>
      <c r="J101" s="581"/>
      <c r="K101" s="581"/>
      <c r="L101" s="581"/>
      <c r="M101" s="581"/>
      <c r="N101" s="581"/>
      <c r="O101" s="581"/>
      <c r="P101" s="581"/>
      <c r="Q101" s="581"/>
    </row>
    <row r="102" spans="1:17" s="339" customFormat="1" ht="11.25">
      <c r="A102" s="610" t="s">
        <v>315</v>
      </c>
      <c r="B102" s="610"/>
      <c r="C102" s="611" t="s">
        <v>302</v>
      </c>
      <c r="D102" s="612"/>
      <c r="E102" s="264">
        <f aca="true" t="shared" si="3" ref="E102:Q102">SUM(E56,E14)</f>
        <v>36796296</v>
      </c>
      <c r="F102" s="264">
        <f t="shared" si="3"/>
        <v>12176732</v>
      </c>
      <c r="G102" s="264">
        <f t="shared" si="3"/>
        <v>24619564</v>
      </c>
      <c r="H102" s="264">
        <f t="shared" si="3"/>
        <v>2059113</v>
      </c>
      <c r="I102" s="264">
        <f t="shared" si="3"/>
        <v>830387</v>
      </c>
      <c r="J102" s="264">
        <f t="shared" si="3"/>
        <v>295235</v>
      </c>
      <c r="K102" s="264">
        <f t="shared" si="3"/>
        <v>0</v>
      </c>
      <c r="L102" s="264">
        <f t="shared" si="3"/>
        <v>535152</v>
      </c>
      <c r="M102" s="264">
        <f t="shared" si="3"/>
        <v>1228726</v>
      </c>
      <c r="N102" s="264">
        <f t="shared" si="3"/>
        <v>0</v>
      </c>
      <c r="O102" s="264">
        <f t="shared" si="3"/>
        <v>0</v>
      </c>
      <c r="P102" s="264">
        <f t="shared" si="3"/>
        <v>0</v>
      </c>
      <c r="Q102" s="264">
        <f t="shared" si="3"/>
        <v>1228726</v>
      </c>
    </row>
    <row r="103" spans="1:10" ht="11.25">
      <c r="A103" s="613" t="s">
        <v>316</v>
      </c>
      <c r="B103" s="613"/>
      <c r="C103" s="613"/>
      <c r="D103" s="613"/>
      <c r="E103" s="613"/>
      <c r="F103" s="613"/>
      <c r="G103" s="613"/>
      <c r="H103" s="613"/>
      <c r="I103" s="613"/>
      <c r="J103" s="613"/>
    </row>
    <row r="104" ht="11.25">
      <c r="A104" s="217" t="s">
        <v>317</v>
      </c>
    </row>
  </sheetData>
  <mergeCells count="159">
    <mergeCell ref="C49:Q49"/>
    <mergeCell ref="A36:A45"/>
    <mergeCell ref="C46:Q46"/>
    <mergeCell ref="C47:Q47"/>
    <mergeCell ref="C48:Q48"/>
    <mergeCell ref="M41:M44"/>
    <mergeCell ref="N41:N44"/>
    <mergeCell ref="O41:O44"/>
    <mergeCell ref="H41:H44"/>
    <mergeCell ref="I41:I44"/>
    <mergeCell ref="C41:C45"/>
    <mergeCell ref="D41:D45"/>
    <mergeCell ref="L41:L44"/>
    <mergeCell ref="H32:H35"/>
    <mergeCell ref="J41:J44"/>
    <mergeCell ref="K41:K44"/>
    <mergeCell ref="Q71:Q74"/>
    <mergeCell ref="Q32:Q35"/>
    <mergeCell ref="C36:Q36"/>
    <mergeCell ref="C37:Q37"/>
    <mergeCell ref="C38:Q38"/>
    <mergeCell ref="K32:K35"/>
    <mergeCell ref="L32:L35"/>
    <mergeCell ref="M32:M35"/>
    <mergeCell ref="N32:N35"/>
    <mergeCell ref="P32:P35"/>
    <mergeCell ref="O71:O74"/>
    <mergeCell ref="P71:P74"/>
    <mergeCell ref="J71:J74"/>
    <mergeCell ref="D32:D35"/>
    <mergeCell ref="I32:I35"/>
    <mergeCell ref="J32:J35"/>
    <mergeCell ref="O32:O35"/>
    <mergeCell ref="C39:Q39"/>
    <mergeCell ref="P41:P44"/>
    <mergeCell ref="Q41:Q44"/>
    <mergeCell ref="N20:N26"/>
    <mergeCell ref="O20:O26"/>
    <mergeCell ref="P20:P26"/>
    <mergeCell ref="Q20:Q26"/>
    <mergeCell ref="J20:J26"/>
    <mergeCell ref="K20:K26"/>
    <mergeCell ref="L20:L26"/>
    <mergeCell ref="M20:M26"/>
    <mergeCell ref="C14:D14"/>
    <mergeCell ref="A80:A83"/>
    <mergeCell ref="C17:Q17"/>
    <mergeCell ref="C15:Q15"/>
    <mergeCell ref="C16:Q16"/>
    <mergeCell ref="C18:Q18"/>
    <mergeCell ref="C20:C26"/>
    <mergeCell ref="D20:D26"/>
    <mergeCell ref="H20:H26"/>
    <mergeCell ref="I20:I26"/>
    <mergeCell ref="A15:A26"/>
    <mergeCell ref="A46:A55"/>
    <mergeCell ref="C50:C55"/>
    <mergeCell ref="A75:A79"/>
    <mergeCell ref="A66:A74"/>
    <mergeCell ref="C66:Q66"/>
    <mergeCell ref="C67:Q67"/>
    <mergeCell ref="C68:Q68"/>
    <mergeCell ref="C69:Q69"/>
    <mergeCell ref="C71:C74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N98:N101"/>
    <mergeCell ref="H80:H83"/>
    <mergeCell ref="Q80:Q83"/>
    <mergeCell ref="M80:M83"/>
    <mergeCell ref="N80:N83"/>
    <mergeCell ref="O80:O83"/>
    <mergeCell ref="P80:P83"/>
    <mergeCell ref="C93:Q93"/>
    <mergeCell ref="C94:Q94"/>
    <mergeCell ref="C95:Q95"/>
    <mergeCell ref="L71:L74"/>
    <mergeCell ref="M71:M74"/>
    <mergeCell ref="N71:N74"/>
    <mergeCell ref="D80:D83"/>
    <mergeCell ref="I80:I83"/>
    <mergeCell ref="J80:J83"/>
    <mergeCell ref="K80:K83"/>
    <mergeCell ref="H71:H74"/>
    <mergeCell ref="D71:D74"/>
    <mergeCell ref="A103:J103"/>
    <mergeCell ref="M98:M101"/>
    <mergeCell ref="I98:I101"/>
    <mergeCell ref="J98:J101"/>
    <mergeCell ref="A93:A101"/>
    <mergeCell ref="C96:Q96"/>
    <mergeCell ref="C98:C101"/>
    <mergeCell ref="D98:D101"/>
    <mergeCell ref="H98:H101"/>
    <mergeCell ref="O98:O101"/>
    <mergeCell ref="D50:D55"/>
    <mergeCell ref="A102:B102"/>
    <mergeCell ref="C102:D102"/>
    <mergeCell ref="C75:Q75"/>
    <mergeCell ref="C76:Q76"/>
    <mergeCell ref="C77:Q77"/>
    <mergeCell ref="C78:Q78"/>
    <mergeCell ref="C80:C83"/>
    <mergeCell ref="L98:L101"/>
    <mergeCell ref="K71:K74"/>
    <mergeCell ref="Q98:Q101"/>
    <mergeCell ref="A64:A65"/>
    <mergeCell ref="C57:Q57"/>
    <mergeCell ref="C58:Q58"/>
    <mergeCell ref="C59:Q59"/>
    <mergeCell ref="C60:Q60"/>
    <mergeCell ref="K98:K101"/>
    <mergeCell ref="L80:L83"/>
    <mergeCell ref="P98:P101"/>
    <mergeCell ref="I71:I74"/>
    <mergeCell ref="A27:A28"/>
    <mergeCell ref="A29:A35"/>
    <mergeCell ref="A57:A63"/>
    <mergeCell ref="C61:C63"/>
    <mergeCell ref="C56:D56"/>
    <mergeCell ref="C27:Q27"/>
    <mergeCell ref="C28:Q28"/>
    <mergeCell ref="C29:Q29"/>
    <mergeCell ref="C30:Q30"/>
    <mergeCell ref="C32:C35"/>
    <mergeCell ref="A84:A92"/>
    <mergeCell ref="C84:Q84"/>
    <mergeCell ref="C85:Q85"/>
    <mergeCell ref="C86:Q86"/>
    <mergeCell ref="C87:Q87"/>
    <mergeCell ref="C89:C92"/>
    <mergeCell ref="D89:D92"/>
    <mergeCell ref="H89:H92"/>
    <mergeCell ref="I89:I92"/>
    <mergeCell ref="J89:J92"/>
    <mergeCell ref="O89:O92"/>
    <mergeCell ref="P89:P92"/>
    <mergeCell ref="Q89:Q92"/>
    <mergeCell ref="K89:K92"/>
    <mergeCell ref="L89:L92"/>
    <mergeCell ref="M89:M92"/>
    <mergeCell ref="N89:N92"/>
  </mergeCells>
  <printOptions/>
  <pageMargins left="0.17" right="0.16" top="0.85" bottom="0.48" header="0.73" footer="0.26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9">
      <pane ySplit="1530" topLeftCell="BM1" activePane="bottomLeft" state="split"/>
      <selection pane="topLeft" activeCell="A12" sqref="A1:IV16384"/>
      <selection pane="bottomLeft" activeCell="L2" sqref="L2:L3"/>
    </sheetView>
  </sheetViews>
  <sheetFormatPr defaultColWidth="9.00390625" defaultRowHeight="12.75"/>
  <cols>
    <col min="1" max="1" width="5.125" style="1" customWidth="1"/>
    <col min="2" max="2" width="6.875" style="1" customWidth="1"/>
    <col min="3" max="3" width="7.125" style="1" customWidth="1"/>
    <col min="4" max="4" width="2.375" style="1" customWidth="1"/>
    <col min="5" max="5" width="27.25390625" style="1" customWidth="1"/>
    <col min="6" max="6" width="12.625" style="1" customWidth="1"/>
    <col min="7" max="7" width="11.75390625" style="1" customWidth="1"/>
    <col min="8" max="8" width="12.25390625" style="1" customWidth="1"/>
    <col min="9" max="9" width="11.625" style="1" customWidth="1"/>
    <col min="10" max="10" width="10.25390625" style="1" customWidth="1"/>
    <col min="11" max="11" width="11.875" style="1" customWidth="1"/>
    <col min="12" max="12" width="10.375" style="1" customWidth="1"/>
    <col min="13" max="16384" width="9.125" style="1" customWidth="1"/>
  </cols>
  <sheetData>
    <row r="1" spans="5:12" ht="21" customHeight="1">
      <c r="E1" s="285"/>
      <c r="F1" s="285"/>
      <c r="L1" s="73" t="s">
        <v>481</v>
      </c>
    </row>
    <row r="2" spans="5:12" ht="13.5" customHeight="1">
      <c r="E2" s="286"/>
      <c r="F2" s="286"/>
      <c r="L2" s="96" t="s">
        <v>506</v>
      </c>
    </row>
    <row r="3" spans="5:12" ht="15.75" customHeight="1">
      <c r="E3" s="286"/>
      <c r="F3" s="286"/>
      <c r="L3" s="96" t="s">
        <v>507</v>
      </c>
    </row>
    <row r="4" ht="3" customHeight="1"/>
    <row r="5" spans="1:12" s="287" customFormat="1" ht="16.5">
      <c r="A5" s="639" t="s">
        <v>335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</row>
    <row r="6" spans="1:12" s="287" customFormat="1" ht="15" customHeight="1">
      <c r="A6" s="639" t="s">
        <v>0</v>
      </c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39"/>
    </row>
    <row r="7" ht="3.75" customHeight="1"/>
    <row r="8" spans="1:12" s="279" customFormat="1" ht="10.5" customHeight="1">
      <c r="A8" s="648" t="s">
        <v>249</v>
      </c>
      <c r="B8" s="648"/>
      <c r="C8" s="648"/>
      <c r="D8" s="650" t="s">
        <v>22</v>
      </c>
      <c r="E8" s="651"/>
      <c r="F8" s="634" t="s">
        <v>332</v>
      </c>
      <c r="G8" s="634" t="s">
        <v>2</v>
      </c>
      <c r="H8" s="547" t="s">
        <v>287</v>
      </c>
      <c r="I8" s="547"/>
      <c r="J8" s="547"/>
      <c r="K8" s="547"/>
      <c r="L8" s="547"/>
    </row>
    <row r="9" spans="1:12" s="279" customFormat="1" ht="11.25" customHeight="1">
      <c r="A9" s="646" t="s">
        <v>107</v>
      </c>
      <c r="B9" s="646" t="s">
        <v>108</v>
      </c>
      <c r="C9" s="646" t="s">
        <v>203</v>
      </c>
      <c r="D9" s="652"/>
      <c r="E9" s="653"/>
      <c r="F9" s="635"/>
      <c r="G9" s="635"/>
      <c r="H9" s="547" t="s">
        <v>21</v>
      </c>
      <c r="I9" s="547" t="s">
        <v>291</v>
      </c>
      <c r="J9" s="547"/>
      <c r="K9" s="547"/>
      <c r="L9" s="547" t="s">
        <v>96</v>
      </c>
    </row>
    <row r="10" spans="1:12" s="279" customFormat="1" ht="29.25" customHeight="1">
      <c r="A10" s="647"/>
      <c r="B10" s="647"/>
      <c r="C10" s="647"/>
      <c r="D10" s="654"/>
      <c r="E10" s="655"/>
      <c r="F10" s="636"/>
      <c r="G10" s="636"/>
      <c r="H10" s="547"/>
      <c r="I10" s="274" t="s">
        <v>334</v>
      </c>
      <c r="J10" s="274" t="s">
        <v>333</v>
      </c>
      <c r="K10" s="274" t="s">
        <v>1</v>
      </c>
      <c r="L10" s="547"/>
    </row>
    <row r="11" spans="1:12" s="279" customFormat="1" ht="14.25" customHeight="1">
      <c r="A11" s="278">
        <v>1</v>
      </c>
      <c r="B11" s="278">
        <v>2</v>
      </c>
      <c r="C11" s="278">
        <v>3</v>
      </c>
      <c r="D11" s="648">
        <v>4</v>
      </c>
      <c r="E11" s="649"/>
      <c r="F11" s="280">
        <v>5</v>
      </c>
      <c r="G11" s="280">
        <v>6</v>
      </c>
      <c r="H11" s="280">
        <v>7</v>
      </c>
      <c r="I11" s="280">
        <v>8</v>
      </c>
      <c r="J11" s="280">
        <v>9</v>
      </c>
      <c r="K11" s="280">
        <v>10</v>
      </c>
      <c r="L11" s="280">
        <v>11</v>
      </c>
    </row>
    <row r="12" spans="1:12" s="115" customFormat="1" ht="26.25" customHeight="1">
      <c r="A12" s="640">
        <v>600</v>
      </c>
      <c r="B12" s="640">
        <v>60014</v>
      </c>
      <c r="C12" s="643">
        <v>2310</v>
      </c>
      <c r="D12" s="637" t="s">
        <v>3</v>
      </c>
      <c r="E12" s="638"/>
      <c r="F12" s="288" t="s">
        <v>188</v>
      </c>
      <c r="G12" s="289">
        <f>SUM(H12,L12)</f>
        <v>180830</v>
      </c>
      <c r="H12" s="290">
        <v>180830</v>
      </c>
      <c r="I12" s="291">
        <v>0</v>
      </c>
      <c r="J12" s="292">
        <v>0</v>
      </c>
      <c r="K12" s="292">
        <v>180830</v>
      </c>
      <c r="L12" s="292">
        <v>0</v>
      </c>
    </row>
    <row r="13" spans="1:12" s="115" customFormat="1" ht="11.25" customHeight="1">
      <c r="A13" s="641"/>
      <c r="B13" s="641"/>
      <c r="C13" s="644"/>
      <c r="D13" s="656" t="s">
        <v>7</v>
      </c>
      <c r="E13" s="657"/>
      <c r="F13" s="293"/>
      <c r="G13" s="293"/>
      <c r="H13" s="294"/>
      <c r="I13" s="295"/>
      <c r="J13" s="296"/>
      <c r="K13" s="296"/>
      <c r="L13" s="296"/>
    </row>
    <row r="14" spans="1:12" s="115" customFormat="1" ht="12.75" customHeight="1">
      <c r="A14" s="641"/>
      <c r="B14" s="641"/>
      <c r="C14" s="644"/>
      <c r="D14" s="656" t="s">
        <v>4</v>
      </c>
      <c r="E14" s="657"/>
      <c r="F14" s="293"/>
      <c r="G14" s="293"/>
      <c r="H14" s="294"/>
      <c r="I14" s="295"/>
      <c r="J14" s="296"/>
      <c r="K14" s="296"/>
      <c r="L14" s="296"/>
    </row>
    <row r="15" spans="1:12" s="115" customFormat="1" ht="12.75" customHeight="1">
      <c r="A15" s="641"/>
      <c r="B15" s="641"/>
      <c r="C15" s="644"/>
      <c r="D15" s="656" t="s">
        <v>6</v>
      </c>
      <c r="E15" s="657"/>
      <c r="F15" s="293"/>
      <c r="G15" s="293"/>
      <c r="H15" s="294"/>
      <c r="I15" s="295"/>
      <c r="J15" s="296"/>
      <c r="K15" s="296"/>
      <c r="L15" s="296"/>
    </row>
    <row r="16" spans="1:12" s="115" customFormat="1" ht="12.75" customHeight="1">
      <c r="A16" s="641"/>
      <c r="B16" s="641"/>
      <c r="C16" s="644"/>
      <c r="D16" s="656" t="s">
        <v>5</v>
      </c>
      <c r="E16" s="657"/>
      <c r="F16" s="293"/>
      <c r="G16" s="293"/>
      <c r="H16" s="294"/>
      <c r="I16" s="295"/>
      <c r="J16" s="296"/>
      <c r="K16" s="296"/>
      <c r="L16" s="296"/>
    </row>
    <row r="17" spans="1:12" s="115" customFormat="1" ht="35.25" customHeight="1">
      <c r="A17" s="642"/>
      <c r="B17" s="642"/>
      <c r="C17" s="645"/>
      <c r="D17" s="656" t="s">
        <v>10</v>
      </c>
      <c r="E17" s="657"/>
      <c r="F17" s="187"/>
      <c r="G17" s="187"/>
      <c r="H17" s="297"/>
      <c r="I17" s="298"/>
      <c r="J17" s="299"/>
      <c r="K17" s="299"/>
      <c r="L17" s="299"/>
    </row>
    <row r="18" spans="1:12" s="211" customFormat="1" ht="24.75" customHeight="1">
      <c r="A18" s="640">
        <v>600</v>
      </c>
      <c r="B18" s="640">
        <v>60014</v>
      </c>
      <c r="C18" s="643">
        <v>6610</v>
      </c>
      <c r="D18" s="637" t="s">
        <v>13</v>
      </c>
      <c r="E18" s="637"/>
      <c r="F18" s="112" t="s">
        <v>188</v>
      </c>
      <c r="G18" s="300">
        <v>100000</v>
      </c>
      <c r="H18" s="298">
        <v>0</v>
      </c>
      <c r="I18" s="298">
        <v>0</v>
      </c>
      <c r="J18" s="298">
        <v>0</v>
      </c>
      <c r="K18" s="298">
        <v>0</v>
      </c>
      <c r="L18" s="298">
        <v>100000</v>
      </c>
    </row>
    <row r="19" spans="1:12" s="211" customFormat="1" ht="26.25" customHeight="1">
      <c r="A19" s="641"/>
      <c r="B19" s="641"/>
      <c r="C19" s="644"/>
      <c r="D19" s="637" t="s">
        <v>366</v>
      </c>
      <c r="E19" s="637"/>
      <c r="F19" s="112" t="s">
        <v>188</v>
      </c>
      <c r="G19" s="300">
        <v>90000</v>
      </c>
      <c r="H19" s="298">
        <v>0</v>
      </c>
      <c r="I19" s="298">
        <v>0</v>
      </c>
      <c r="J19" s="298">
        <v>0</v>
      </c>
      <c r="K19" s="298">
        <v>0</v>
      </c>
      <c r="L19" s="298">
        <v>90000</v>
      </c>
    </row>
    <row r="20" spans="1:12" s="211" customFormat="1" ht="49.5" customHeight="1">
      <c r="A20" s="641"/>
      <c r="B20" s="641"/>
      <c r="C20" s="644"/>
      <c r="D20" s="637" t="s">
        <v>492</v>
      </c>
      <c r="E20" s="637"/>
      <c r="F20" s="112"/>
      <c r="G20" s="300">
        <v>20000</v>
      </c>
      <c r="H20" s="298">
        <v>0</v>
      </c>
      <c r="I20" s="298"/>
      <c r="J20" s="298"/>
      <c r="K20" s="298"/>
      <c r="L20" s="298">
        <v>20000</v>
      </c>
    </row>
    <row r="21" spans="1:12" s="211" customFormat="1" ht="49.5" customHeight="1">
      <c r="A21" s="641"/>
      <c r="B21" s="641"/>
      <c r="C21" s="644"/>
      <c r="D21" s="637" t="s">
        <v>511</v>
      </c>
      <c r="E21" s="637"/>
      <c r="F21" s="112">
        <v>50000</v>
      </c>
      <c r="G21" s="300"/>
      <c r="H21" s="298"/>
      <c r="I21" s="298"/>
      <c r="J21" s="298"/>
      <c r="K21" s="298"/>
      <c r="L21" s="298"/>
    </row>
    <row r="22" spans="1:12" s="211" customFormat="1" ht="36.75" customHeight="1">
      <c r="A22" s="642"/>
      <c r="B22" s="642"/>
      <c r="C22" s="645"/>
      <c r="D22" s="637" t="s">
        <v>478</v>
      </c>
      <c r="E22" s="637"/>
      <c r="F22" s="112">
        <v>39457</v>
      </c>
      <c r="G22" s="112" t="s">
        <v>188</v>
      </c>
      <c r="H22" s="112" t="s">
        <v>188</v>
      </c>
      <c r="I22" s="112" t="s">
        <v>188</v>
      </c>
      <c r="J22" s="112" t="s">
        <v>188</v>
      </c>
      <c r="K22" s="112" t="s">
        <v>188</v>
      </c>
      <c r="L22" s="112" t="s">
        <v>188</v>
      </c>
    </row>
    <row r="23" spans="1:12" s="118" customFormat="1" ht="60" customHeight="1">
      <c r="A23" s="126">
        <v>750</v>
      </c>
      <c r="B23" s="126">
        <v>75018</v>
      </c>
      <c r="C23" s="126">
        <v>2330</v>
      </c>
      <c r="D23" s="637" t="s">
        <v>250</v>
      </c>
      <c r="E23" s="637"/>
      <c r="F23" s="188" t="s">
        <v>188</v>
      </c>
      <c r="G23" s="106">
        <v>6000</v>
      </c>
      <c r="H23" s="108">
        <v>6000</v>
      </c>
      <c r="I23" s="108">
        <v>0</v>
      </c>
      <c r="J23" s="108">
        <v>0</v>
      </c>
      <c r="K23" s="108">
        <v>6000</v>
      </c>
      <c r="L23" s="108">
        <v>0</v>
      </c>
    </row>
    <row r="24" spans="1:12" s="118" customFormat="1" ht="87" customHeight="1">
      <c r="A24" s="126">
        <v>750</v>
      </c>
      <c r="B24" s="126">
        <v>75020</v>
      </c>
      <c r="C24" s="126">
        <v>6630</v>
      </c>
      <c r="D24" s="671" t="s">
        <v>376</v>
      </c>
      <c r="E24" s="672"/>
      <c r="F24" s="188" t="s">
        <v>188</v>
      </c>
      <c r="G24" s="106">
        <v>110000</v>
      </c>
      <c r="H24" s="108">
        <v>0</v>
      </c>
      <c r="I24" s="108">
        <v>0</v>
      </c>
      <c r="J24" s="108">
        <v>0</v>
      </c>
      <c r="K24" s="108">
        <v>0</v>
      </c>
      <c r="L24" s="108">
        <v>110000</v>
      </c>
    </row>
    <row r="25" spans="1:12" s="118" customFormat="1" ht="39" customHeight="1">
      <c r="A25" s="113">
        <v>754</v>
      </c>
      <c r="B25" s="114">
        <v>75411</v>
      </c>
      <c r="C25" s="415">
        <v>2310</v>
      </c>
      <c r="D25" s="662" t="s">
        <v>474</v>
      </c>
      <c r="E25" s="663"/>
      <c r="F25" s="668">
        <v>17815</v>
      </c>
      <c r="G25" s="532"/>
      <c r="H25" s="532"/>
      <c r="I25" s="532"/>
      <c r="J25" s="532"/>
      <c r="K25" s="532"/>
      <c r="L25" s="532"/>
    </row>
    <row r="26" spans="1:12" s="118" customFormat="1" ht="56.25" customHeight="1">
      <c r="A26" s="416"/>
      <c r="B26" s="417"/>
      <c r="C26" s="418"/>
      <c r="D26" s="419">
        <v>1</v>
      </c>
      <c r="E26" s="94" t="s">
        <v>508</v>
      </c>
      <c r="F26" s="669"/>
      <c r="G26" s="533"/>
      <c r="H26" s="533"/>
      <c r="I26" s="533"/>
      <c r="J26" s="533"/>
      <c r="K26" s="533"/>
      <c r="L26" s="533"/>
    </row>
    <row r="27" spans="1:12" s="118" customFormat="1" ht="48" customHeight="1">
      <c r="A27" s="113">
        <v>754</v>
      </c>
      <c r="B27" s="114">
        <v>75411</v>
      </c>
      <c r="C27" s="415">
        <v>6610</v>
      </c>
      <c r="D27" s="662" t="s">
        <v>510</v>
      </c>
      <c r="E27" s="663"/>
      <c r="F27" s="668">
        <v>5185</v>
      </c>
      <c r="G27" s="532"/>
      <c r="H27" s="532"/>
      <c r="I27" s="532"/>
      <c r="J27" s="532"/>
      <c r="K27" s="532"/>
      <c r="L27" s="532"/>
    </row>
    <row r="28" spans="1:12" s="118" customFormat="1" ht="33.75">
      <c r="A28" s="416"/>
      <c r="B28" s="417"/>
      <c r="C28" s="418"/>
      <c r="D28" s="419">
        <v>1</v>
      </c>
      <c r="E28" s="94" t="s">
        <v>509</v>
      </c>
      <c r="F28" s="669"/>
      <c r="G28" s="533"/>
      <c r="H28" s="533"/>
      <c r="I28" s="533"/>
      <c r="J28" s="533"/>
      <c r="K28" s="533"/>
      <c r="L28" s="533"/>
    </row>
    <row r="29" spans="1:12" s="118" customFormat="1" ht="63" customHeight="1">
      <c r="A29" s="126">
        <v>801</v>
      </c>
      <c r="B29" s="126">
        <v>80120</v>
      </c>
      <c r="C29" s="126">
        <v>2310</v>
      </c>
      <c r="D29" s="637" t="s">
        <v>251</v>
      </c>
      <c r="E29" s="637"/>
      <c r="F29" s="188" t="s">
        <v>188</v>
      </c>
      <c r="G29" s="106">
        <v>14400</v>
      </c>
      <c r="H29" s="108">
        <v>14400</v>
      </c>
      <c r="I29" s="108">
        <v>0</v>
      </c>
      <c r="J29" s="108">
        <v>0</v>
      </c>
      <c r="K29" s="108">
        <v>14400</v>
      </c>
      <c r="L29" s="108">
        <v>0</v>
      </c>
    </row>
    <row r="30" spans="1:12" s="118" customFormat="1" ht="85.5" customHeight="1">
      <c r="A30" s="126">
        <v>801</v>
      </c>
      <c r="B30" s="126">
        <v>80120</v>
      </c>
      <c r="C30" s="126">
        <v>2310</v>
      </c>
      <c r="D30" s="637" t="s">
        <v>475</v>
      </c>
      <c r="E30" s="667"/>
      <c r="F30" s="106">
        <v>1000</v>
      </c>
      <c r="G30" s="188" t="s">
        <v>188</v>
      </c>
      <c r="H30" s="108" t="s">
        <v>188</v>
      </c>
      <c r="I30" s="108" t="s">
        <v>188</v>
      </c>
      <c r="J30" s="108" t="s">
        <v>188</v>
      </c>
      <c r="K30" s="108" t="s">
        <v>188</v>
      </c>
      <c r="L30" s="108" t="s">
        <v>188</v>
      </c>
    </row>
    <row r="31" spans="1:12" s="118" customFormat="1" ht="84.75" customHeight="1">
      <c r="A31" s="126">
        <v>801</v>
      </c>
      <c r="B31" s="126">
        <v>80130</v>
      </c>
      <c r="C31" s="126">
        <v>2310</v>
      </c>
      <c r="D31" s="637" t="s">
        <v>278</v>
      </c>
      <c r="E31" s="667"/>
      <c r="F31" s="106">
        <f>38000+1733</f>
        <v>39733</v>
      </c>
      <c r="G31" s="188" t="s">
        <v>188</v>
      </c>
      <c r="H31" s="108" t="s">
        <v>188</v>
      </c>
      <c r="I31" s="108" t="s">
        <v>188</v>
      </c>
      <c r="J31" s="108" t="s">
        <v>188</v>
      </c>
      <c r="K31" s="108" t="s">
        <v>188</v>
      </c>
      <c r="L31" s="108" t="s">
        <v>188</v>
      </c>
    </row>
    <row r="32" spans="1:12" s="118" customFormat="1" ht="25.5" customHeight="1">
      <c r="A32" s="126">
        <v>801</v>
      </c>
      <c r="B32" s="126">
        <v>80130</v>
      </c>
      <c r="C32" s="126">
        <v>2310</v>
      </c>
      <c r="D32" s="637" t="s">
        <v>14</v>
      </c>
      <c r="E32" s="637"/>
      <c r="F32" s="188"/>
      <c r="G32" s="106">
        <v>2800</v>
      </c>
      <c r="H32" s="108">
        <v>2800</v>
      </c>
      <c r="I32" s="108">
        <v>0</v>
      </c>
      <c r="J32" s="108">
        <v>0</v>
      </c>
      <c r="K32" s="108">
        <v>2800</v>
      </c>
      <c r="L32" s="108">
        <v>0</v>
      </c>
    </row>
    <row r="33" spans="1:12" s="118" customFormat="1" ht="54" customHeight="1">
      <c r="A33" s="126">
        <v>851</v>
      </c>
      <c r="B33" s="126">
        <v>85111</v>
      </c>
      <c r="C33" s="126">
        <v>6610</v>
      </c>
      <c r="D33" s="637" t="s">
        <v>387</v>
      </c>
      <c r="E33" s="637"/>
      <c r="F33" s="106">
        <v>45000</v>
      </c>
      <c r="G33" s="106" t="s">
        <v>188</v>
      </c>
      <c r="H33" s="106" t="s">
        <v>188</v>
      </c>
      <c r="I33" s="106" t="s">
        <v>188</v>
      </c>
      <c r="J33" s="106" t="s">
        <v>188</v>
      </c>
      <c r="K33" s="106" t="s">
        <v>188</v>
      </c>
      <c r="L33" s="106" t="s">
        <v>188</v>
      </c>
    </row>
    <row r="34" spans="1:12" s="118" customFormat="1" ht="54" customHeight="1">
      <c r="A34" s="640">
        <v>851</v>
      </c>
      <c r="B34" s="640">
        <v>85154</v>
      </c>
      <c r="C34" s="640">
        <v>2330</v>
      </c>
      <c r="D34" s="670" t="s">
        <v>473</v>
      </c>
      <c r="E34" s="662"/>
      <c r="F34" s="668">
        <v>15900</v>
      </c>
      <c r="G34" s="668" t="s">
        <v>188</v>
      </c>
      <c r="H34" s="668" t="s">
        <v>188</v>
      </c>
      <c r="I34" s="668" t="s">
        <v>188</v>
      </c>
      <c r="J34" s="668" t="s">
        <v>188</v>
      </c>
      <c r="K34" s="668" t="s">
        <v>188</v>
      </c>
      <c r="L34" s="668" t="s">
        <v>188</v>
      </c>
    </row>
    <row r="35" spans="1:12" s="118" customFormat="1" ht="60" customHeight="1">
      <c r="A35" s="642"/>
      <c r="B35" s="642"/>
      <c r="C35" s="642"/>
      <c r="D35" s="413">
        <v>1</v>
      </c>
      <c r="E35" s="414" t="s">
        <v>476</v>
      </c>
      <c r="F35" s="669"/>
      <c r="G35" s="669"/>
      <c r="H35" s="669"/>
      <c r="I35" s="669"/>
      <c r="J35" s="669"/>
      <c r="K35" s="669"/>
      <c r="L35" s="669"/>
    </row>
    <row r="36" spans="1:12" s="212" customFormat="1" ht="44.25" customHeight="1">
      <c r="A36" s="114">
        <v>852</v>
      </c>
      <c r="B36" s="114">
        <v>85201</v>
      </c>
      <c r="C36" s="114">
        <v>2310</v>
      </c>
      <c r="D36" s="637" t="s">
        <v>8</v>
      </c>
      <c r="E36" s="666"/>
      <c r="F36" s="289">
        <f>30164+26053</f>
        <v>56217</v>
      </c>
      <c r="G36" s="289" t="s">
        <v>188</v>
      </c>
      <c r="H36" s="290" t="s">
        <v>188</v>
      </c>
      <c r="I36" s="291" t="s">
        <v>188</v>
      </c>
      <c r="J36" s="292" t="s">
        <v>188</v>
      </c>
      <c r="K36" s="292" t="s">
        <v>188</v>
      </c>
      <c r="L36" s="292" t="s">
        <v>188</v>
      </c>
    </row>
    <row r="37" spans="1:12" s="212" customFormat="1" ht="12.75">
      <c r="A37" s="313"/>
      <c r="B37" s="313"/>
      <c r="C37" s="313"/>
      <c r="D37" s="281">
        <v>1</v>
      </c>
      <c r="E37" s="94" t="s">
        <v>388</v>
      </c>
      <c r="F37" s="293"/>
      <c r="G37" s="293"/>
      <c r="H37" s="294"/>
      <c r="I37" s="295"/>
      <c r="J37" s="296"/>
      <c r="K37" s="296"/>
      <c r="L37" s="296"/>
    </row>
    <row r="38" spans="1:12" s="212" customFormat="1" ht="22.5">
      <c r="A38" s="358"/>
      <c r="B38" s="358"/>
      <c r="C38" s="358"/>
      <c r="D38" s="281">
        <v>2</v>
      </c>
      <c r="E38" s="94" t="s">
        <v>389</v>
      </c>
      <c r="F38" s="293"/>
      <c r="G38" s="293"/>
      <c r="H38" s="294"/>
      <c r="I38" s="295"/>
      <c r="J38" s="296"/>
      <c r="K38" s="296"/>
      <c r="L38" s="296"/>
    </row>
    <row r="39" spans="1:12" s="212" customFormat="1" ht="36.75" customHeight="1">
      <c r="A39" s="640">
        <v>852</v>
      </c>
      <c r="B39" s="640">
        <v>85201</v>
      </c>
      <c r="C39" s="640">
        <v>2310</v>
      </c>
      <c r="D39" s="659" t="s">
        <v>375</v>
      </c>
      <c r="E39" s="660"/>
      <c r="F39" s="289" t="s">
        <v>188</v>
      </c>
      <c r="G39" s="289">
        <v>8327</v>
      </c>
      <c r="H39" s="290">
        <v>8327</v>
      </c>
      <c r="I39" s="291" t="s">
        <v>188</v>
      </c>
      <c r="J39" s="292" t="s">
        <v>188</v>
      </c>
      <c r="K39" s="292">
        <v>8327</v>
      </c>
      <c r="L39" s="292" t="s">
        <v>188</v>
      </c>
    </row>
    <row r="40" spans="1:12" s="212" customFormat="1" ht="12.75">
      <c r="A40" s="642"/>
      <c r="B40" s="642"/>
      <c r="C40" s="642"/>
      <c r="D40" s="359">
        <v>1</v>
      </c>
      <c r="E40" s="360" t="s">
        <v>374</v>
      </c>
      <c r="F40" s="187"/>
      <c r="G40" s="187"/>
      <c r="H40" s="297"/>
      <c r="I40" s="298"/>
      <c r="J40" s="299"/>
      <c r="K40" s="299"/>
      <c r="L40" s="299"/>
    </row>
    <row r="41" spans="1:12" s="212" customFormat="1" ht="47.25" customHeight="1">
      <c r="A41" s="126">
        <v>852</v>
      </c>
      <c r="B41" s="126">
        <v>85201</v>
      </c>
      <c r="C41" s="126">
        <v>2310</v>
      </c>
      <c r="D41" s="659" t="s">
        <v>373</v>
      </c>
      <c r="E41" s="665"/>
      <c r="F41" s="376">
        <f>31944-13360</f>
        <v>18584</v>
      </c>
      <c r="G41" s="377" t="s">
        <v>188</v>
      </c>
      <c r="H41" s="378" t="s">
        <v>188</v>
      </c>
      <c r="I41" s="108" t="s">
        <v>188</v>
      </c>
      <c r="J41" s="379" t="s">
        <v>188</v>
      </c>
      <c r="K41" s="379" t="s">
        <v>188</v>
      </c>
      <c r="L41" s="379" t="s">
        <v>188</v>
      </c>
    </row>
    <row r="42" spans="1:12" s="212" customFormat="1" ht="57" customHeight="1">
      <c r="A42" s="126">
        <v>852</v>
      </c>
      <c r="B42" s="126">
        <v>85201</v>
      </c>
      <c r="C42" s="126">
        <v>2320</v>
      </c>
      <c r="D42" s="664" t="s">
        <v>15</v>
      </c>
      <c r="E42" s="663"/>
      <c r="F42" s="112"/>
      <c r="G42" s="300">
        <f>750000-31712-20697</f>
        <v>697591</v>
      </c>
      <c r="H42" s="298">
        <v>697591</v>
      </c>
      <c r="I42" s="298">
        <v>0</v>
      </c>
      <c r="J42" s="298">
        <v>0</v>
      </c>
      <c r="K42" s="298">
        <v>697591</v>
      </c>
      <c r="L42" s="298">
        <v>0</v>
      </c>
    </row>
    <row r="43" spans="1:12" s="212" customFormat="1" ht="36" customHeight="1">
      <c r="A43" s="126">
        <v>852</v>
      </c>
      <c r="B43" s="126">
        <v>85204</v>
      </c>
      <c r="C43" s="126">
        <v>2310</v>
      </c>
      <c r="D43" s="664" t="s">
        <v>279</v>
      </c>
      <c r="E43" s="663"/>
      <c r="F43" s="188" t="s">
        <v>188</v>
      </c>
      <c r="G43" s="106">
        <v>12000</v>
      </c>
      <c r="H43" s="108">
        <v>12000</v>
      </c>
      <c r="I43" s="108">
        <v>0</v>
      </c>
      <c r="J43" s="108">
        <v>0</v>
      </c>
      <c r="K43" s="108">
        <v>12000</v>
      </c>
      <c r="L43" s="108">
        <v>0</v>
      </c>
    </row>
    <row r="44" spans="1:12" s="212" customFormat="1" ht="36" customHeight="1">
      <c r="A44" s="640">
        <v>852</v>
      </c>
      <c r="B44" s="640">
        <v>85204</v>
      </c>
      <c r="C44" s="640">
        <v>2320</v>
      </c>
      <c r="D44" s="659" t="s">
        <v>16</v>
      </c>
      <c r="E44" s="660"/>
      <c r="F44" s="288" t="s">
        <v>188</v>
      </c>
      <c r="G44" s="289">
        <v>51857</v>
      </c>
      <c r="H44" s="290">
        <v>51857</v>
      </c>
      <c r="I44" s="291">
        <v>0</v>
      </c>
      <c r="J44" s="292">
        <v>0</v>
      </c>
      <c r="K44" s="292">
        <v>51857</v>
      </c>
      <c r="L44" s="292">
        <v>0</v>
      </c>
    </row>
    <row r="45" spans="1:12" s="212" customFormat="1" ht="12.75" customHeight="1">
      <c r="A45" s="641"/>
      <c r="B45" s="641"/>
      <c r="C45" s="641"/>
      <c r="D45" s="427">
        <v>1</v>
      </c>
      <c r="E45" s="421" t="s">
        <v>479</v>
      </c>
      <c r="F45" s="293"/>
      <c r="G45" s="428"/>
      <c r="H45" s="294"/>
      <c r="I45" s="295"/>
      <c r="J45" s="296"/>
      <c r="K45" s="296"/>
      <c r="L45" s="296"/>
    </row>
    <row r="46" spans="1:12" s="212" customFormat="1" ht="12.75" customHeight="1">
      <c r="A46" s="641"/>
      <c r="B46" s="641"/>
      <c r="C46" s="641"/>
      <c r="D46" s="427">
        <v>2</v>
      </c>
      <c r="E46" s="421" t="s">
        <v>499</v>
      </c>
      <c r="F46" s="293"/>
      <c r="G46" s="428"/>
      <c r="H46" s="294"/>
      <c r="I46" s="295"/>
      <c r="J46" s="296"/>
      <c r="K46" s="296"/>
      <c r="L46" s="296"/>
    </row>
    <row r="47" spans="1:12" s="212" customFormat="1" ht="12.75" customHeight="1">
      <c r="A47" s="641"/>
      <c r="B47" s="641"/>
      <c r="C47" s="641"/>
      <c r="D47" s="427">
        <v>3</v>
      </c>
      <c r="E47" s="421" t="s">
        <v>518</v>
      </c>
      <c r="F47" s="293"/>
      <c r="G47" s="428"/>
      <c r="H47" s="294"/>
      <c r="I47" s="295"/>
      <c r="J47" s="296"/>
      <c r="K47" s="296"/>
      <c r="L47" s="296"/>
    </row>
    <row r="48" spans="1:12" s="212" customFormat="1" ht="12.75" customHeight="1">
      <c r="A48" s="641"/>
      <c r="B48" s="641"/>
      <c r="C48" s="641"/>
      <c r="D48" s="427">
        <v>4</v>
      </c>
      <c r="E48" s="421" t="s">
        <v>514</v>
      </c>
      <c r="F48" s="293"/>
      <c r="G48" s="428"/>
      <c r="H48" s="294"/>
      <c r="I48" s="295"/>
      <c r="J48" s="296"/>
      <c r="K48" s="296"/>
      <c r="L48" s="296"/>
    </row>
    <row r="49" spans="1:12" s="212" customFormat="1" ht="12.75" customHeight="1">
      <c r="A49" s="642"/>
      <c r="B49" s="642"/>
      <c r="C49" s="642"/>
      <c r="D49" s="427">
        <v>5</v>
      </c>
      <c r="E49" s="421" t="s">
        <v>480</v>
      </c>
      <c r="F49" s="187"/>
      <c r="G49" s="429"/>
      <c r="H49" s="297"/>
      <c r="I49" s="298"/>
      <c r="J49" s="299"/>
      <c r="K49" s="299"/>
      <c r="L49" s="299"/>
    </row>
    <row r="50" spans="1:12" s="212" customFormat="1" ht="37.5" customHeight="1">
      <c r="A50" s="640">
        <v>852</v>
      </c>
      <c r="B50" s="640">
        <v>85204</v>
      </c>
      <c r="C50" s="640">
        <v>2320</v>
      </c>
      <c r="D50" s="637" t="s">
        <v>9</v>
      </c>
      <c r="E50" s="638"/>
      <c r="F50" s="289">
        <v>81730</v>
      </c>
      <c r="G50" s="289" t="s">
        <v>188</v>
      </c>
      <c r="H50" s="289" t="s">
        <v>188</v>
      </c>
      <c r="I50" s="492" t="s">
        <v>188</v>
      </c>
      <c r="J50" s="495" t="s">
        <v>188</v>
      </c>
      <c r="K50" s="495" t="s">
        <v>188</v>
      </c>
      <c r="L50" s="495" t="s">
        <v>188</v>
      </c>
    </row>
    <row r="51" spans="1:12" s="211" customFormat="1" ht="12.75">
      <c r="A51" s="641"/>
      <c r="B51" s="641"/>
      <c r="C51" s="641"/>
      <c r="D51" s="283">
        <v>1</v>
      </c>
      <c r="E51" s="284" t="s">
        <v>11</v>
      </c>
      <c r="F51" s="301"/>
      <c r="G51" s="301"/>
      <c r="H51" s="302"/>
      <c r="I51" s="303"/>
      <c r="J51" s="304"/>
      <c r="K51" s="304"/>
      <c r="L51" s="304"/>
    </row>
    <row r="52" spans="1:12" s="211" customFormat="1" ht="12.75">
      <c r="A52" s="641"/>
      <c r="B52" s="641"/>
      <c r="C52" s="641"/>
      <c r="D52" s="283">
        <v>2</v>
      </c>
      <c r="E52" s="284" t="s">
        <v>12</v>
      </c>
      <c r="F52" s="301"/>
      <c r="G52" s="301"/>
      <c r="H52" s="302"/>
      <c r="I52" s="303"/>
      <c r="J52" s="304"/>
      <c r="K52" s="304"/>
      <c r="L52" s="304"/>
    </row>
    <row r="53" spans="1:12" s="211" customFormat="1" ht="12.75">
      <c r="A53" s="641"/>
      <c r="B53" s="641"/>
      <c r="C53" s="641"/>
      <c r="D53" s="283">
        <v>3</v>
      </c>
      <c r="E53" s="284" t="s">
        <v>497</v>
      </c>
      <c r="F53" s="301"/>
      <c r="G53" s="301"/>
      <c r="H53" s="302"/>
      <c r="I53" s="303"/>
      <c r="J53" s="304"/>
      <c r="K53" s="304"/>
      <c r="L53" s="304"/>
    </row>
    <row r="54" spans="1:12" s="211" customFormat="1" ht="12.75">
      <c r="A54" s="642"/>
      <c r="B54" s="642"/>
      <c r="C54" s="642"/>
      <c r="D54" s="283">
        <v>4</v>
      </c>
      <c r="E54" s="284" t="s">
        <v>496</v>
      </c>
      <c r="F54" s="305"/>
      <c r="G54" s="305"/>
      <c r="H54" s="306"/>
      <c r="I54" s="307"/>
      <c r="J54" s="308"/>
      <c r="K54" s="308"/>
      <c r="L54" s="308"/>
    </row>
    <row r="55" spans="1:12" s="282" customFormat="1" ht="48.75" customHeight="1">
      <c r="A55" s="358">
        <v>921</v>
      </c>
      <c r="B55" s="358">
        <v>92116</v>
      </c>
      <c r="C55" s="358">
        <v>2310</v>
      </c>
      <c r="D55" s="661" t="s">
        <v>252</v>
      </c>
      <c r="E55" s="661"/>
      <c r="F55" s="300" t="s">
        <v>188</v>
      </c>
      <c r="G55" s="300">
        <v>40000</v>
      </c>
      <c r="H55" s="300">
        <v>40000</v>
      </c>
      <c r="I55" s="300">
        <v>0</v>
      </c>
      <c r="J55" s="300">
        <v>0</v>
      </c>
      <c r="K55" s="300">
        <v>40000</v>
      </c>
      <c r="L55" s="300">
        <v>0</v>
      </c>
    </row>
    <row r="56" spans="1:12" s="119" customFormat="1" ht="24" customHeight="1">
      <c r="A56" s="658" t="s">
        <v>177</v>
      </c>
      <c r="B56" s="658"/>
      <c r="C56" s="658"/>
      <c r="D56" s="658"/>
      <c r="E56" s="658"/>
      <c r="F56" s="72">
        <f aca="true" t="shared" si="0" ref="F56:L56">SUM(F12:F55)</f>
        <v>370621</v>
      </c>
      <c r="G56" s="72">
        <f t="shared" si="0"/>
        <v>1333805</v>
      </c>
      <c r="H56" s="72">
        <f t="shared" si="0"/>
        <v>1013805</v>
      </c>
      <c r="I56" s="72">
        <f t="shared" si="0"/>
        <v>0</v>
      </c>
      <c r="J56" s="72">
        <f t="shared" si="0"/>
        <v>0</v>
      </c>
      <c r="K56" s="72">
        <f t="shared" si="0"/>
        <v>1013805</v>
      </c>
      <c r="L56" s="72">
        <f t="shared" si="0"/>
        <v>320000</v>
      </c>
    </row>
    <row r="58" ht="12.75">
      <c r="F58" s="375"/>
    </row>
  </sheetData>
  <mergeCells count="83">
    <mergeCell ref="J25:J26"/>
    <mergeCell ref="K25:K26"/>
    <mergeCell ref="L25:L26"/>
    <mergeCell ref="D21:E21"/>
    <mergeCell ref="F25:F26"/>
    <mergeCell ref="G25:G26"/>
    <mergeCell ref="H25:H26"/>
    <mergeCell ref="I25:I26"/>
    <mergeCell ref="D23:E23"/>
    <mergeCell ref="D24:E24"/>
    <mergeCell ref="A18:A22"/>
    <mergeCell ref="B18:B22"/>
    <mergeCell ref="C18:C22"/>
    <mergeCell ref="D22:E22"/>
    <mergeCell ref="D19:E19"/>
    <mergeCell ref="D20:E20"/>
    <mergeCell ref="J27:J28"/>
    <mergeCell ref="K27:K28"/>
    <mergeCell ref="L27:L28"/>
    <mergeCell ref="F27:F28"/>
    <mergeCell ref="G27:G28"/>
    <mergeCell ref="H27:H28"/>
    <mergeCell ref="I27:I28"/>
    <mergeCell ref="J34:J35"/>
    <mergeCell ref="K34:K35"/>
    <mergeCell ref="L34:L35"/>
    <mergeCell ref="D30:E30"/>
    <mergeCell ref="F34:F35"/>
    <mergeCell ref="G34:G35"/>
    <mergeCell ref="H34:H35"/>
    <mergeCell ref="I34:I35"/>
    <mergeCell ref="D34:E34"/>
    <mergeCell ref="D33:E33"/>
    <mergeCell ref="A39:A40"/>
    <mergeCell ref="B39:B40"/>
    <mergeCell ref="C39:C40"/>
    <mergeCell ref="A34:A35"/>
    <mergeCell ref="D32:E32"/>
    <mergeCell ref="D36:E36"/>
    <mergeCell ref="D31:E31"/>
    <mergeCell ref="B34:B35"/>
    <mergeCell ref="C34:C35"/>
    <mergeCell ref="D25:E25"/>
    <mergeCell ref="A44:A49"/>
    <mergeCell ref="B44:B49"/>
    <mergeCell ref="C44:C49"/>
    <mergeCell ref="D43:E43"/>
    <mergeCell ref="D42:E42"/>
    <mergeCell ref="D27:E27"/>
    <mergeCell ref="D41:E41"/>
    <mergeCell ref="D39:E39"/>
    <mergeCell ref="D29:E29"/>
    <mergeCell ref="A56:E56"/>
    <mergeCell ref="B50:B54"/>
    <mergeCell ref="A50:A54"/>
    <mergeCell ref="D44:E44"/>
    <mergeCell ref="D50:E50"/>
    <mergeCell ref="C50:C54"/>
    <mergeCell ref="D55:E55"/>
    <mergeCell ref="D13:E13"/>
    <mergeCell ref="D18:E18"/>
    <mergeCell ref="D14:E14"/>
    <mergeCell ref="D15:E15"/>
    <mergeCell ref="D16:E16"/>
    <mergeCell ref="D17:E17"/>
    <mergeCell ref="A8:C8"/>
    <mergeCell ref="H9:H10"/>
    <mergeCell ref="D11:E11"/>
    <mergeCell ref="B9:B10"/>
    <mergeCell ref="C9:C10"/>
    <mergeCell ref="D8:E10"/>
    <mergeCell ref="F8:F10"/>
    <mergeCell ref="G8:G10"/>
    <mergeCell ref="D12:E12"/>
    <mergeCell ref="A5:L5"/>
    <mergeCell ref="A6:L6"/>
    <mergeCell ref="A12:A17"/>
    <mergeCell ref="B12:B17"/>
    <mergeCell ref="C12:C17"/>
    <mergeCell ref="H8:L8"/>
    <mergeCell ref="I9:K9"/>
    <mergeCell ref="L9:L10"/>
    <mergeCell ref="A9:A10"/>
  </mergeCells>
  <printOptions/>
  <pageMargins left="0.77" right="0.61" top="0.75" bottom="0.59" header="0.21" footer="0.36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="95" zoomScaleNormal="95" workbookViewId="0" topLeftCell="A1">
      <selection activeCell="A5" sqref="A5:L5"/>
    </sheetView>
  </sheetViews>
  <sheetFormatPr defaultColWidth="9.00390625" defaultRowHeight="12.75"/>
  <cols>
    <col min="1" max="1" width="3.375" style="48" customWidth="1"/>
    <col min="2" max="2" width="36.875" style="48" customWidth="1"/>
    <col min="3" max="3" width="12.625" style="48" customWidth="1"/>
    <col min="4" max="4" width="12.375" style="48" customWidth="1"/>
    <col min="5" max="7" width="11.00390625" style="48" customWidth="1"/>
    <col min="8" max="8" width="12.25390625" style="48" customWidth="1"/>
    <col min="9" max="9" width="9.25390625" style="48" customWidth="1"/>
    <col min="10" max="10" width="8.00390625" style="48" customWidth="1"/>
    <col min="11" max="11" width="4.25390625" style="48" customWidth="1"/>
    <col min="12" max="12" width="13.75390625" style="48" customWidth="1"/>
    <col min="13" max="16384" width="9.125" style="48" customWidth="1"/>
  </cols>
  <sheetData>
    <row r="1" spans="4:12" ht="13.5" customHeight="1">
      <c r="D1" s="182"/>
      <c r="E1" s="183"/>
      <c r="F1" s="183"/>
      <c r="G1" s="183"/>
      <c r="H1" s="184"/>
      <c r="L1" s="96" t="s">
        <v>493</v>
      </c>
    </row>
    <row r="2" spans="4:12" ht="13.5" customHeight="1">
      <c r="D2" s="185"/>
      <c r="E2" s="184"/>
      <c r="F2" s="184"/>
      <c r="G2" s="184"/>
      <c r="H2" s="183"/>
      <c r="L2" s="96" t="s">
        <v>506</v>
      </c>
    </row>
    <row r="3" spans="4:12" ht="13.5" customHeight="1">
      <c r="D3" s="185"/>
      <c r="E3" s="184"/>
      <c r="F3" s="184"/>
      <c r="G3" s="184"/>
      <c r="H3" s="183"/>
      <c r="I3" s="49"/>
      <c r="J3" s="50"/>
      <c r="L3" s="96" t="s">
        <v>507</v>
      </c>
    </row>
    <row r="4" spans="1:12" ht="16.5" customHeight="1">
      <c r="A4" s="679" t="s">
        <v>341</v>
      </c>
      <c r="B4" s="679"/>
      <c r="C4" s="679"/>
      <c r="D4" s="679"/>
      <c r="E4" s="679"/>
      <c r="F4" s="679"/>
      <c r="G4" s="679"/>
      <c r="H4" s="679"/>
      <c r="I4" s="679"/>
      <c r="J4" s="679"/>
      <c r="K4" s="679"/>
      <c r="L4" s="679"/>
    </row>
    <row r="5" spans="1:12" ht="14.25" customHeight="1">
      <c r="A5" s="679" t="s">
        <v>342</v>
      </c>
      <c r="B5" s="679"/>
      <c r="C5" s="679"/>
      <c r="D5" s="679"/>
      <c r="E5" s="679"/>
      <c r="F5" s="679"/>
      <c r="G5" s="679"/>
      <c r="H5" s="679"/>
      <c r="I5" s="679"/>
      <c r="J5" s="679"/>
      <c r="K5" s="679"/>
      <c r="L5" s="679"/>
    </row>
    <row r="6" spans="2:12" ht="12.75" customHeight="1">
      <c r="B6" s="51"/>
      <c r="I6" s="186"/>
      <c r="J6" s="186"/>
      <c r="L6" s="186" t="s">
        <v>167</v>
      </c>
    </row>
    <row r="7" spans="1:12" s="38" customFormat="1" ht="15.75" customHeight="1">
      <c r="A7" s="634" t="s">
        <v>173</v>
      </c>
      <c r="B7" s="643" t="s">
        <v>105</v>
      </c>
      <c r="C7" s="634" t="s">
        <v>17</v>
      </c>
      <c r="D7" s="689" t="s">
        <v>81</v>
      </c>
      <c r="E7" s="690"/>
      <c r="F7" s="690"/>
      <c r="G7" s="691"/>
      <c r="H7" s="542" t="s">
        <v>111</v>
      </c>
      <c r="I7" s="542"/>
      <c r="J7" s="683" t="s">
        <v>336</v>
      </c>
      <c r="K7" s="684"/>
      <c r="L7" s="634" t="s">
        <v>337</v>
      </c>
    </row>
    <row r="8" spans="1:12" s="38" customFormat="1" ht="11.25" customHeight="1">
      <c r="A8" s="635"/>
      <c r="B8" s="644"/>
      <c r="C8" s="635"/>
      <c r="D8" s="634" t="s">
        <v>184</v>
      </c>
      <c r="E8" s="689" t="s">
        <v>287</v>
      </c>
      <c r="F8" s="690"/>
      <c r="G8" s="691"/>
      <c r="H8" s="37"/>
      <c r="I8" s="37"/>
      <c r="J8" s="685"/>
      <c r="K8" s="686"/>
      <c r="L8" s="635"/>
    </row>
    <row r="9" spans="1:12" s="40" customFormat="1" ht="11.25" customHeight="1">
      <c r="A9" s="635"/>
      <c r="B9" s="644"/>
      <c r="C9" s="635"/>
      <c r="D9" s="635"/>
      <c r="E9" s="680" t="s">
        <v>185</v>
      </c>
      <c r="F9" s="677" t="s">
        <v>287</v>
      </c>
      <c r="G9" s="678"/>
      <c r="H9" s="634" t="s">
        <v>184</v>
      </c>
      <c r="I9" s="680" t="s">
        <v>186</v>
      </c>
      <c r="J9" s="685"/>
      <c r="K9" s="686"/>
      <c r="L9" s="635"/>
    </row>
    <row r="10" spans="1:12" s="40" customFormat="1" ht="18" customHeight="1">
      <c r="A10" s="636"/>
      <c r="B10" s="644"/>
      <c r="C10" s="635"/>
      <c r="D10" s="635"/>
      <c r="E10" s="681"/>
      <c r="F10" s="310" t="s">
        <v>338</v>
      </c>
      <c r="G10" s="310" t="s">
        <v>339</v>
      </c>
      <c r="H10" s="636"/>
      <c r="I10" s="682"/>
      <c r="J10" s="687"/>
      <c r="K10" s="688"/>
      <c r="L10" s="636"/>
    </row>
    <row r="11" spans="1:12" s="38" customFormat="1" ht="12.75" customHeight="1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677">
        <v>10</v>
      </c>
      <c r="K11" s="678"/>
      <c r="L11" s="39">
        <v>11</v>
      </c>
    </row>
    <row r="12" spans="1:12" s="45" customFormat="1" ht="16.5" customHeight="1">
      <c r="A12" s="42" t="s">
        <v>187</v>
      </c>
      <c r="B12" s="43" t="s">
        <v>190</v>
      </c>
      <c r="C12" s="67">
        <f aca="true" t="shared" si="0" ref="C12:I12">SUM(C13:C15)</f>
        <v>1228375</v>
      </c>
      <c r="D12" s="67">
        <f t="shared" si="0"/>
        <v>3068000</v>
      </c>
      <c r="E12" s="67">
        <f t="shared" si="0"/>
        <v>0</v>
      </c>
      <c r="F12" s="67">
        <f t="shared" si="0"/>
        <v>0</v>
      </c>
      <c r="G12" s="67">
        <f t="shared" si="0"/>
        <v>0</v>
      </c>
      <c r="H12" s="67">
        <f t="shared" si="0"/>
        <v>3064939</v>
      </c>
      <c r="I12" s="67">
        <f t="shared" si="0"/>
        <v>3061</v>
      </c>
      <c r="J12" s="674">
        <f aca="true" t="shared" si="1" ref="J12:J19">C12+D12-H12</f>
        <v>1231436</v>
      </c>
      <c r="K12" s="674"/>
      <c r="L12" s="67">
        <f>SUM(L13:L15)</f>
        <v>185710.65</v>
      </c>
    </row>
    <row r="13" spans="1:12" s="38" customFormat="1" ht="24">
      <c r="A13" s="39" t="s">
        <v>115</v>
      </c>
      <c r="B13" s="430" t="s">
        <v>191</v>
      </c>
      <c r="C13" s="68">
        <v>1054681</v>
      </c>
      <c r="D13" s="68">
        <v>980000</v>
      </c>
      <c r="E13" s="68" t="s">
        <v>188</v>
      </c>
      <c r="F13" s="68" t="s">
        <v>188</v>
      </c>
      <c r="G13" s="68" t="s">
        <v>188</v>
      </c>
      <c r="H13" s="68">
        <f>977308+1346</f>
        <v>978654</v>
      </c>
      <c r="I13" s="68">
        <v>1346</v>
      </c>
      <c r="J13" s="675">
        <f t="shared" si="1"/>
        <v>1056027</v>
      </c>
      <c r="K13" s="676"/>
      <c r="L13" s="437">
        <v>186.05</v>
      </c>
    </row>
    <row r="14" spans="1:12" s="38" customFormat="1" ht="24">
      <c r="A14" s="39" t="s">
        <v>116</v>
      </c>
      <c r="B14" s="430" t="s">
        <v>192</v>
      </c>
      <c r="C14" s="68">
        <v>152215</v>
      </c>
      <c r="D14" s="68">
        <v>1980000</v>
      </c>
      <c r="E14" s="68" t="s">
        <v>188</v>
      </c>
      <c r="F14" s="68" t="s">
        <v>188</v>
      </c>
      <c r="G14" s="68" t="s">
        <v>188</v>
      </c>
      <c r="H14" s="68">
        <v>1980000</v>
      </c>
      <c r="I14" s="68" t="s">
        <v>188</v>
      </c>
      <c r="J14" s="675">
        <f t="shared" si="1"/>
        <v>152215</v>
      </c>
      <c r="K14" s="676"/>
      <c r="L14" s="437">
        <v>181352.9</v>
      </c>
    </row>
    <row r="15" spans="1:12" s="38" customFormat="1" ht="25.5">
      <c r="A15" s="39" t="s">
        <v>117</v>
      </c>
      <c r="B15" s="46" t="s">
        <v>193</v>
      </c>
      <c r="C15" s="68">
        <v>21479</v>
      </c>
      <c r="D15" s="68">
        <v>108000</v>
      </c>
      <c r="E15" s="68" t="s">
        <v>188</v>
      </c>
      <c r="F15" s="68" t="s">
        <v>188</v>
      </c>
      <c r="G15" s="68" t="s">
        <v>188</v>
      </c>
      <c r="H15" s="68">
        <f>104570+1715</f>
        <v>106285</v>
      </c>
      <c r="I15" s="68">
        <v>1715</v>
      </c>
      <c r="J15" s="675">
        <f t="shared" si="1"/>
        <v>23194</v>
      </c>
      <c r="K15" s="676"/>
      <c r="L15" s="68">
        <v>4171.7</v>
      </c>
    </row>
    <row r="16" spans="1:12" s="55" customFormat="1" ht="19.5" customHeight="1">
      <c r="A16" s="53" t="s">
        <v>189</v>
      </c>
      <c r="B16" s="54" t="s">
        <v>280</v>
      </c>
      <c r="C16" s="72">
        <f>SUM(C17:C27)</f>
        <v>277450</v>
      </c>
      <c r="D16" s="72">
        <f>SUM(D17:D27)</f>
        <v>1352442</v>
      </c>
      <c r="E16" s="311">
        <f>SUM(E17:E26)</f>
        <v>0</v>
      </c>
      <c r="F16" s="311">
        <f>SUM(F17:F26)</f>
        <v>0</v>
      </c>
      <c r="G16" s="311">
        <f>SUM(G17:G26)</f>
        <v>0</v>
      </c>
      <c r="H16" s="311">
        <f>SUM(H17:H27)</f>
        <v>1453043</v>
      </c>
      <c r="I16" s="311">
        <f>SUM(I17:I26)</f>
        <v>0</v>
      </c>
      <c r="J16" s="674">
        <f t="shared" si="1"/>
        <v>176849</v>
      </c>
      <c r="K16" s="674"/>
      <c r="L16" s="311">
        <f>SUM(L17:L26)</f>
        <v>0</v>
      </c>
    </row>
    <row r="17" spans="1:12" s="56" customFormat="1" ht="15.75" customHeight="1">
      <c r="A17" s="431" t="s">
        <v>115</v>
      </c>
      <c r="B17" s="432" t="s">
        <v>194</v>
      </c>
      <c r="C17" s="68">
        <v>62605</v>
      </c>
      <c r="D17" s="433">
        <v>50880</v>
      </c>
      <c r="E17" s="434" t="s">
        <v>188</v>
      </c>
      <c r="F17" s="434" t="s">
        <v>188</v>
      </c>
      <c r="G17" s="434" t="s">
        <v>188</v>
      </c>
      <c r="H17" s="433">
        <v>113485</v>
      </c>
      <c r="I17" s="434" t="s">
        <v>188</v>
      </c>
      <c r="J17" s="675">
        <f t="shared" si="1"/>
        <v>0</v>
      </c>
      <c r="K17" s="676"/>
      <c r="L17" s="436">
        <v>0</v>
      </c>
    </row>
    <row r="18" spans="1:12" s="56" customFormat="1" ht="24" customHeight="1">
      <c r="A18" s="431" t="s">
        <v>116</v>
      </c>
      <c r="B18" s="430" t="s">
        <v>477</v>
      </c>
      <c r="C18" s="68">
        <v>0</v>
      </c>
      <c r="D18" s="433">
        <v>551</v>
      </c>
      <c r="E18" s="434" t="s">
        <v>188</v>
      </c>
      <c r="F18" s="434" t="s">
        <v>188</v>
      </c>
      <c r="G18" s="434" t="s">
        <v>188</v>
      </c>
      <c r="H18" s="433">
        <v>551</v>
      </c>
      <c r="I18" s="434" t="s">
        <v>188</v>
      </c>
      <c r="J18" s="675">
        <f t="shared" si="1"/>
        <v>0</v>
      </c>
      <c r="K18" s="676"/>
      <c r="L18" s="436">
        <v>0</v>
      </c>
    </row>
    <row r="19" spans="1:12" s="56" customFormat="1" ht="14.25" customHeight="1">
      <c r="A19" s="431" t="s">
        <v>117</v>
      </c>
      <c r="B19" s="432" t="s">
        <v>195</v>
      </c>
      <c r="C19" s="68">
        <v>27638</v>
      </c>
      <c r="D19" s="433">
        <v>30825</v>
      </c>
      <c r="E19" s="434" t="s">
        <v>188</v>
      </c>
      <c r="F19" s="434" t="s">
        <v>188</v>
      </c>
      <c r="G19" s="434" t="s">
        <v>188</v>
      </c>
      <c r="H19" s="433">
        <v>30800</v>
      </c>
      <c r="I19" s="434" t="s">
        <v>188</v>
      </c>
      <c r="J19" s="675">
        <f t="shared" si="1"/>
        <v>27663</v>
      </c>
      <c r="K19" s="676"/>
      <c r="L19" s="436">
        <v>0</v>
      </c>
    </row>
    <row r="20" spans="1:12" s="38" customFormat="1" ht="25.5" customHeight="1">
      <c r="A20" s="431" t="s">
        <v>106</v>
      </c>
      <c r="B20" s="430" t="s">
        <v>340</v>
      </c>
      <c r="C20" s="68">
        <v>14482</v>
      </c>
      <c r="D20" s="435">
        <v>281800</v>
      </c>
      <c r="E20" s="435" t="s">
        <v>188</v>
      </c>
      <c r="F20" s="435" t="s">
        <v>188</v>
      </c>
      <c r="G20" s="435" t="s">
        <v>188</v>
      </c>
      <c r="H20" s="435">
        <v>278420</v>
      </c>
      <c r="I20" s="435" t="s">
        <v>188</v>
      </c>
      <c r="J20" s="675">
        <f aca="true" t="shared" si="2" ref="J20:J26">C20+D20-H20</f>
        <v>17862</v>
      </c>
      <c r="K20" s="676"/>
      <c r="L20" s="436">
        <v>0</v>
      </c>
    </row>
    <row r="21" spans="1:12" s="38" customFormat="1" ht="16.5" customHeight="1">
      <c r="A21" s="431" t="s">
        <v>121</v>
      </c>
      <c r="B21" s="430" t="s">
        <v>196</v>
      </c>
      <c r="C21" s="68">
        <v>18567</v>
      </c>
      <c r="D21" s="435">
        <f>235400+50100</f>
        <v>285500</v>
      </c>
      <c r="E21" s="435" t="s">
        <v>188</v>
      </c>
      <c r="F21" s="435" t="s">
        <v>188</v>
      </c>
      <c r="G21" s="435" t="s">
        <v>188</v>
      </c>
      <c r="H21" s="435">
        <f>233400+50100</f>
        <v>283500</v>
      </c>
      <c r="I21" s="435" t="s">
        <v>188</v>
      </c>
      <c r="J21" s="675">
        <f t="shared" si="2"/>
        <v>20567</v>
      </c>
      <c r="K21" s="676"/>
      <c r="L21" s="436">
        <v>0</v>
      </c>
    </row>
    <row r="22" spans="1:12" s="38" customFormat="1" ht="25.5" customHeight="1">
      <c r="A22" s="431" t="s">
        <v>125</v>
      </c>
      <c r="B22" s="430" t="s">
        <v>197</v>
      </c>
      <c r="C22" s="68">
        <v>14680</v>
      </c>
      <c r="D22" s="435">
        <v>112200</v>
      </c>
      <c r="E22" s="435" t="s">
        <v>188</v>
      </c>
      <c r="F22" s="435" t="s">
        <v>188</v>
      </c>
      <c r="G22" s="435" t="s">
        <v>188</v>
      </c>
      <c r="H22" s="435">
        <v>126000</v>
      </c>
      <c r="I22" s="435" t="s">
        <v>188</v>
      </c>
      <c r="J22" s="675">
        <f t="shared" si="2"/>
        <v>880</v>
      </c>
      <c r="K22" s="676"/>
      <c r="L22" s="436">
        <v>0</v>
      </c>
    </row>
    <row r="23" spans="1:12" s="38" customFormat="1" ht="16.5" customHeight="1">
      <c r="A23" s="431" t="s">
        <v>133</v>
      </c>
      <c r="B23" s="430" t="s">
        <v>198</v>
      </c>
      <c r="C23" s="68">
        <v>39636</v>
      </c>
      <c r="D23" s="435">
        <v>84000</v>
      </c>
      <c r="E23" s="435" t="s">
        <v>188</v>
      </c>
      <c r="F23" s="435" t="s">
        <v>188</v>
      </c>
      <c r="G23" s="435" t="s">
        <v>188</v>
      </c>
      <c r="H23" s="435">
        <v>84000</v>
      </c>
      <c r="I23" s="435" t="s">
        <v>188</v>
      </c>
      <c r="J23" s="675">
        <f t="shared" si="2"/>
        <v>39636</v>
      </c>
      <c r="K23" s="676"/>
      <c r="L23" s="436">
        <v>0</v>
      </c>
    </row>
    <row r="24" spans="1:12" s="38" customFormat="1" ht="17.25" customHeight="1">
      <c r="A24" s="431" t="s">
        <v>142</v>
      </c>
      <c r="B24" s="430" t="s">
        <v>200</v>
      </c>
      <c r="C24" s="68">
        <v>85019</v>
      </c>
      <c r="D24" s="435">
        <f>1000+220830+167000</f>
        <v>388830</v>
      </c>
      <c r="E24" s="435" t="s">
        <v>188</v>
      </c>
      <c r="F24" s="435" t="s">
        <v>188</v>
      </c>
      <c r="G24" s="435" t="s">
        <v>188</v>
      </c>
      <c r="H24" s="435">
        <f>1000+220830+194716</f>
        <v>416546</v>
      </c>
      <c r="I24" s="435" t="s">
        <v>188</v>
      </c>
      <c r="J24" s="675">
        <f t="shared" si="2"/>
        <v>57303</v>
      </c>
      <c r="K24" s="676"/>
      <c r="L24" s="436">
        <v>0</v>
      </c>
    </row>
    <row r="25" spans="1:12" s="38" customFormat="1" ht="16.5" customHeight="1">
      <c r="A25" s="431" t="s">
        <v>199</v>
      </c>
      <c r="B25" s="430" t="s">
        <v>202</v>
      </c>
      <c r="C25" s="68">
        <v>7912</v>
      </c>
      <c r="D25" s="435">
        <v>74527</v>
      </c>
      <c r="E25" s="435" t="s">
        <v>188</v>
      </c>
      <c r="F25" s="435" t="s">
        <v>188</v>
      </c>
      <c r="G25" s="435" t="s">
        <v>188</v>
      </c>
      <c r="H25" s="435">
        <v>74527</v>
      </c>
      <c r="I25" s="435" t="s">
        <v>188</v>
      </c>
      <c r="J25" s="675">
        <f t="shared" si="2"/>
        <v>7912</v>
      </c>
      <c r="K25" s="676"/>
      <c r="L25" s="436">
        <v>0</v>
      </c>
    </row>
    <row r="26" spans="1:12" ht="24" customHeight="1">
      <c r="A26" s="431" t="s">
        <v>201</v>
      </c>
      <c r="B26" s="70" t="s">
        <v>343</v>
      </c>
      <c r="C26" s="68">
        <v>3686</v>
      </c>
      <c r="D26" s="435">
        <v>40260</v>
      </c>
      <c r="E26" s="435" t="s">
        <v>188</v>
      </c>
      <c r="F26" s="435" t="s">
        <v>188</v>
      </c>
      <c r="G26" s="435" t="s">
        <v>188</v>
      </c>
      <c r="H26" s="435">
        <v>39000</v>
      </c>
      <c r="I26" s="435" t="s">
        <v>188</v>
      </c>
      <c r="J26" s="675">
        <f t="shared" si="2"/>
        <v>4946</v>
      </c>
      <c r="K26" s="676"/>
      <c r="L26" s="436">
        <v>0</v>
      </c>
    </row>
    <row r="27" spans="1:12" ht="24" customHeight="1">
      <c r="A27" s="431" t="s">
        <v>28</v>
      </c>
      <c r="B27" s="70" t="s">
        <v>344</v>
      </c>
      <c r="C27" s="68">
        <v>3225</v>
      </c>
      <c r="D27" s="435">
        <v>3069</v>
      </c>
      <c r="E27" s="435" t="s">
        <v>188</v>
      </c>
      <c r="F27" s="435" t="s">
        <v>188</v>
      </c>
      <c r="G27" s="435" t="s">
        <v>188</v>
      </c>
      <c r="H27" s="435">
        <v>6214</v>
      </c>
      <c r="I27" s="435" t="s">
        <v>188</v>
      </c>
      <c r="J27" s="675">
        <f>C27+D27-H27</f>
        <v>80</v>
      </c>
      <c r="K27" s="676"/>
      <c r="L27" s="436"/>
    </row>
    <row r="28" spans="1:12" s="47" customFormat="1" ht="20.25" customHeight="1">
      <c r="A28" s="673" t="s">
        <v>83</v>
      </c>
      <c r="B28" s="673"/>
      <c r="C28" s="72">
        <f aca="true" t="shared" si="3" ref="C28:I28">SUM(C16,C12)</f>
        <v>1505825</v>
      </c>
      <c r="D28" s="72">
        <f t="shared" si="3"/>
        <v>4420442</v>
      </c>
      <c r="E28" s="72">
        <f t="shared" si="3"/>
        <v>0</v>
      </c>
      <c r="F28" s="72">
        <f t="shared" si="3"/>
        <v>0</v>
      </c>
      <c r="G28" s="72">
        <f t="shared" si="3"/>
        <v>0</v>
      </c>
      <c r="H28" s="72">
        <f t="shared" si="3"/>
        <v>4517982</v>
      </c>
      <c r="I28" s="72">
        <f t="shared" si="3"/>
        <v>3061</v>
      </c>
      <c r="J28" s="674">
        <f>SUM(J12,J16)</f>
        <v>1408285</v>
      </c>
      <c r="K28" s="674"/>
      <c r="L28" s="72">
        <f>SUM(L16,L12)</f>
        <v>185710.65</v>
      </c>
    </row>
    <row r="29" ht="1.5" customHeight="1"/>
    <row r="30" spans="1:7" ht="10.5" customHeight="1">
      <c r="A30" s="249" t="s">
        <v>19</v>
      </c>
      <c r="D30" s="57"/>
      <c r="E30" s="57"/>
      <c r="F30" s="57"/>
      <c r="G30" s="57"/>
    </row>
    <row r="31" spans="1:7" s="52" customFormat="1" ht="11.25">
      <c r="A31" s="52" t="s">
        <v>18</v>
      </c>
      <c r="E31" s="309"/>
      <c r="F31" s="309"/>
      <c r="G31" s="309"/>
    </row>
    <row r="32" spans="1:7" s="52" customFormat="1" ht="11.25">
      <c r="A32" s="52" t="s">
        <v>20</v>
      </c>
      <c r="E32" s="309"/>
      <c r="F32" s="309"/>
      <c r="G32" s="309"/>
    </row>
  </sheetData>
  <mergeCells count="34">
    <mergeCell ref="B7:B10"/>
    <mergeCell ref="C7:C10"/>
    <mergeCell ref="D8:D10"/>
    <mergeCell ref="D7:G7"/>
    <mergeCell ref="E8:G8"/>
    <mergeCell ref="F9:G9"/>
    <mergeCell ref="L7:L10"/>
    <mergeCell ref="H7:I7"/>
    <mergeCell ref="J11:K11"/>
    <mergeCell ref="A4:L4"/>
    <mergeCell ref="A5:L5"/>
    <mergeCell ref="E9:E10"/>
    <mergeCell ref="A7:A10"/>
    <mergeCell ref="H9:H10"/>
    <mergeCell ref="I9:I10"/>
    <mergeCell ref="J7:K10"/>
    <mergeCell ref="J27:K27"/>
    <mergeCell ref="J15:K15"/>
    <mergeCell ref="J26:K26"/>
    <mergeCell ref="J20:K20"/>
    <mergeCell ref="J21:K21"/>
    <mergeCell ref="J22:K22"/>
    <mergeCell ref="J23:K23"/>
    <mergeCell ref="J18:K18"/>
    <mergeCell ref="A28:B28"/>
    <mergeCell ref="J28:K28"/>
    <mergeCell ref="J12:K12"/>
    <mergeCell ref="J13:K13"/>
    <mergeCell ref="J14:K14"/>
    <mergeCell ref="J16:K16"/>
    <mergeCell ref="J17:K17"/>
    <mergeCell ref="J19:K19"/>
    <mergeCell ref="J24:K24"/>
    <mergeCell ref="J25:K25"/>
  </mergeCells>
  <printOptions/>
  <pageMargins left="0.28" right="0.18" top="0.56" bottom="0.21" header="0.46" footer="0.2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21" sqref="D21"/>
    </sheetView>
  </sheetViews>
  <sheetFormatPr defaultColWidth="9.00390625" defaultRowHeight="12.75"/>
  <cols>
    <col min="1" max="1" width="16.75390625" style="0" customWidth="1"/>
    <col min="2" max="2" width="8.75390625" style="0" customWidth="1"/>
    <col min="3" max="3" width="10.00390625" style="0" customWidth="1"/>
    <col min="4" max="4" width="60.125" style="0" customWidth="1"/>
    <col min="5" max="5" width="20.125" style="0" customWidth="1"/>
  </cols>
  <sheetData>
    <row r="1" spans="4:6" ht="23.25" customHeight="1">
      <c r="D1" s="96"/>
      <c r="E1" s="73" t="s">
        <v>519</v>
      </c>
      <c r="F1" s="96"/>
    </row>
    <row r="2" spans="4:6" ht="14.25">
      <c r="D2" s="95"/>
      <c r="E2" s="96" t="s">
        <v>506</v>
      </c>
      <c r="F2" s="95"/>
    </row>
    <row r="3" spans="4:6" ht="14.25">
      <c r="D3" s="95"/>
      <c r="E3" s="96" t="s">
        <v>507</v>
      </c>
      <c r="F3" s="95"/>
    </row>
    <row r="5" spans="1:6" ht="18" customHeight="1">
      <c r="A5" s="692" t="s">
        <v>346</v>
      </c>
      <c r="B5" s="692"/>
      <c r="C5" s="692"/>
      <c r="D5" s="692"/>
      <c r="E5" s="692"/>
      <c r="F5" s="692"/>
    </row>
    <row r="6" spans="3:5" ht="18">
      <c r="C6" s="692" t="s">
        <v>347</v>
      </c>
      <c r="D6" s="693"/>
      <c r="E6" s="693"/>
    </row>
    <row r="7" ht="13.5" thickBot="1"/>
    <row r="8" spans="2:5" ht="30.75" customHeight="1" thickBot="1">
      <c r="B8" s="252" t="s">
        <v>107</v>
      </c>
      <c r="C8" s="253" t="s">
        <v>108</v>
      </c>
      <c r="D8" s="253" t="s">
        <v>168</v>
      </c>
      <c r="E8" s="254" t="s">
        <v>345</v>
      </c>
    </row>
    <row r="9" spans="2:5" ht="13.5" thickBot="1">
      <c r="B9" s="255">
        <v>1</v>
      </c>
      <c r="C9" s="256">
        <v>2</v>
      </c>
      <c r="D9" s="256">
        <v>3</v>
      </c>
      <c r="E9" s="257">
        <v>4</v>
      </c>
    </row>
    <row r="10" spans="2:5" s="194" customFormat="1" ht="14.25" customHeight="1">
      <c r="B10" s="697">
        <v>750</v>
      </c>
      <c r="C10" s="699">
        <v>75095</v>
      </c>
      <c r="D10" s="251" t="s">
        <v>277</v>
      </c>
      <c r="E10" s="316">
        <v>5000</v>
      </c>
    </row>
    <row r="11" spans="2:5" s="194" customFormat="1" ht="14.25" customHeight="1">
      <c r="B11" s="698"/>
      <c r="C11" s="700"/>
      <c r="D11" s="251" t="s">
        <v>363</v>
      </c>
      <c r="E11" s="316">
        <v>1500</v>
      </c>
    </row>
    <row r="12" spans="2:5" s="194" customFormat="1" ht="24">
      <c r="B12" s="250">
        <v>754</v>
      </c>
      <c r="C12" s="192">
        <v>75415</v>
      </c>
      <c r="D12" s="193" t="s">
        <v>269</v>
      </c>
      <c r="E12" s="312">
        <v>5000</v>
      </c>
    </row>
    <row r="13" spans="2:5" s="194" customFormat="1" ht="18" customHeight="1">
      <c r="B13" s="250">
        <v>851</v>
      </c>
      <c r="C13" s="192">
        <v>85195</v>
      </c>
      <c r="D13" s="193" t="s">
        <v>270</v>
      </c>
      <c r="E13" s="312">
        <v>12000</v>
      </c>
    </row>
    <row r="14" spans="2:5" s="194" customFormat="1" ht="18" customHeight="1">
      <c r="B14" s="250">
        <v>852</v>
      </c>
      <c r="C14" s="192">
        <v>85201</v>
      </c>
      <c r="D14" s="193" t="s">
        <v>271</v>
      </c>
      <c r="E14" s="312">
        <f>104284-56368</f>
        <v>47916</v>
      </c>
    </row>
    <row r="15" spans="2:5" s="194" customFormat="1" ht="36">
      <c r="B15" s="250">
        <v>852</v>
      </c>
      <c r="C15" s="192">
        <v>85204</v>
      </c>
      <c r="D15" s="193" t="s">
        <v>275</v>
      </c>
      <c r="E15" s="312">
        <v>0</v>
      </c>
    </row>
    <row r="16" spans="2:5" s="194" customFormat="1" ht="24">
      <c r="B16" s="250">
        <v>854</v>
      </c>
      <c r="C16" s="192">
        <v>85415</v>
      </c>
      <c r="D16" s="193" t="s">
        <v>272</v>
      </c>
      <c r="E16" s="312">
        <v>12000</v>
      </c>
    </row>
    <row r="17" spans="2:5" s="194" customFormat="1" ht="18" customHeight="1">
      <c r="B17" s="250">
        <v>921</v>
      </c>
      <c r="C17" s="192">
        <v>92105</v>
      </c>
      <c r="D17" s="193" t="s">
        <v>358</v>
      </c>
      <c r="E17" s="312">
        <v>16500</v>
      </c>
    </row>
    <row r="18" spans="2:5" s="194" customFormat="1" ht="24.75" thickBot="1">
      <c r="B18" s="258">
        <v>926</v>
      </c>
      <c r="C18" s="259">
        <v>92695</v>
      </c>
      <c r="D18" s="260" t="s">
        <v>273</v>
      </c>
      <c r="E18" s="317">
        <f>31100-1250</f>
        <v>29850</v>
      </c>
    </row>
    <row r="19" spans="2:5" s="1" customFormat="1" ht="27" customHeight="1" thickBot="1">
      <c r="B19" s="694" t="s">
        <v>177</v>
      </c>
      <c r="C19" s="695"/>
      <c r="D19" s="696"/>
      <c r="E19" s="261">
        <f>SUM(E10:E18)</f>
        <v>129766</v>
      </c>
    </row>
  </sheetData>
  <mergeCells count="5">
    <mergeCell ref="C6:E6"/>
    <mergeCell ref="B19:D19"/>
    <mergeCell ref="A5:F5"/>
    <mergeCell ref="B10:B11"/>
    <mergeCell ref="C10:C11"/>
  </mergeCells>
  <printOptions/>
  <pageMargins left="0.75" right="0.75" top="1.18" bottom="1" header="0.9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3"/>
  <dimension ref="A1:J44"/>
  <sheetViews>
    <sheetView workbookViewId="0" topLeftCell="A22">
      <selection activeCell="B37" sqref="B37"/>
    </sheetView>
  </sheetViews>
  <sheetFormatPr defaultColWidth="9.00390625" defaultRowHeight="12.75"/>
  <cols>
    <col min="1" max="1" width="5.25390625" style="1" bestFit="1" customWidth="1"/>
    <col min="2" max="2" width="60.625" style="1" customWidth="1"/>
    <col min="3" max="3" width="17.75390625" style="1" customWidth="1"/>
    <col min="4" max="16384" width="9.125" style="1" customWidth="1"/>
  </cols>
  <sheetData>
    <row r="1" spans="1:10" s="440" customFormat="1" ht="26.25" customHeight="1">
      <c r="A1" s="701" t="s">
        <v>135</v>
      </c>
      <c r="B1" s="701"/>
      <c r="C1" s="701"/>
      <c r="D1" s="439"/>
      <c r="E1" s="439"/>
      <c r="F1" s="439"/>
      <c r="G1" s="439"/>
      <c r="H1" s="439"/>
      <c r="I1" s="439"/>
      <c r="J1" s="439"/>
    </row>
    <row r="2" spans="1:7" s="287" customFormat="1" ht="13.5" customHeight="1">
      <c r="A2" s="639" t="s">
        <v>274</v>
      </c>
      <c r="B2" s="639"/>
      <c r="C2" s="639"/>
      <c r="D2" s="438"/>
      <c r="E2" s="438"/>
      <c r="F2" s="438"/>
      <c r="G2" s="438"/>
    </row>
    <row r="3" ht="12.75" customHeight="1" thickBot="1">
      <c r="C3" s="26" t="s">
        <v>167</v>
      </c>
    </row>
    <row r="4" spans="1:10" s="89" customFormat="1" ht="19.5" customHeight="1">
      <c r="A4" s="443" t="s">
        <v>112</v>
      </c>
      <c r="B4" s="444" t="s">
        <v>105</v>
      </c>
      <c r="C4" s="445" t="s">
        <v>367</v>
      </c>
      <c r="D4" s="87"/>
      <c r="E4" s="87"/>
      <c r="F4" s="87"/>
      <c r="G4" s="87"/>
      <c r="H4" s="87"/>
      <c r="I4" s="88"/>
      <c r="J4" s="88"/>
    </row>
    <row r="5" spans="1:10" ht="19.5" customHeight="1">
      <c r="A5" s="446" t="s">
        <v>114</v>
      </c>
      <c r="B5" s="447" t="s">
        <v>137</v>
      </c>
      <c r="C5" s="448">
        <f>SUM(C6-C8)</f>
        <v>69482</v>
      </c>
      <c r="D5" s="8"/>
      <c r="E5" s="8"/>
      <c r="F5" s="8"/>
      <c r="G5" s="8"/>
      <c r="H5" s="8"/>
      <c r="I5" s="9"/>
      <c r="J5" s="9"/>
    </row>
    <row r="6" spans="1:10" ht="17.25" customHeight="1">
      <c r="A6" s="442" t="s">
        <v>115</v>
      </c>
      <c r="B6" s="449" t="s">
        <v>141</v>
      </c>
      <c r="C6" s="450">
        <f>69982</f>
        <v>69982</v>
      </c>
      <c r="D6" s="420"/>
      <c r="E6" s="8"/>
      <c r="F6" s="8"/>
      <c r="G6" s="8"/>
      <c r="H6" s="8"/>
      <c r="I6" s="9"/>
      <c r="J6" s="9"/>
    </row>
    <row r="7" spans="1:10" ht="17.25" customHeight="1">
      <c r="A7" s="442" t="s">
        <v>116</v>
      </c>
      <c r="B7" s="449" t="s">
        <v>140</v>
      </c>
      <c r="C7" s="451">
        <v>0</v>
      </c>
      <c r="D7" s="8"/>
      <c r="E7" s="8"/>
      <c r="F7" s="8"/>
      <c r="G7" s="8"/>
      <c r="H7" s="8"/>
      <c r="I7" s="9"/>
      <c r="J7" s="9"/>
    </row>
    <row r="8" spans="1:10" ht="17.25" customHeight="1">
      <c r="A8" s="442" t="s">
        <v>117</v>
      </c>
      <c r="B8" s="449" t="s">
        <v>139</v>
      </c>
      <c r="C8" s="450">
        <v>500</v>
      </c>
      <c r="D8" s="8"/>
      <c r="E8" s="8"/>
      <c r="F8" s="8"/>
      <c r="G8" s="8"/>
      <c r="H8" s="8"/>
      <c r="I8" s="9"/>
      <c r="J8" s="9"/>
    </row>
    <row r="9" spans="1:10" ht="17.25" customHeight="1">
      <c r="A9" s="442" t="s">
        <v>106</v>
      </c>
      <c r="B9" s="449" t="s">
        <v>329</v>
      </c>
      <c r="C9" s="451">
        <v>0</v>
      </c>
      <c r="D9" s="8"/>
      <c r="E9" s="8"/>
      <c r="F9" s="8"/>
      <c r="G9" s="8"/>
      <c r="H9" s="8"/>
      <c r="I9" s="9"/>
      <c r="J9" s="9"/>
    </row>
    <row r="10" spans="1:10" ht="19.5" customHeight="1">
      <c r="A10" s="446" t="s">
        <v>118</v>
      </c>
      <c r="B10" s="447" t="s">
        <v>113</v>
      </c>
      <c r="C10" s="452">
        <f>SUM(C11:C13)</f>
        <v>150000</v>
      </c>
      <c r="D10" s="8"/>
      <c r="E10" s="8"/>
      <c r="F10" s="8"/>
      <c r="G10" s="8"/>
      <c r="H10" s="8"/>
      <c r="I10" s="9"/>
      <c r="J10" s="9"/>
    </row>
    <row r="11" spans="1:10" ht="19.5" customHeight="1">
      <c r="A11" s="442" t="s">
        <v>115</v>
      </c>
      <c r="B11" s="373" t="s">
        <v>169</v>
      </c>
      <c r="C11" s="453">
        <v>150000</v>
      </c>
      <c r="D11" s="8"/>
      <c r="E11" s="8"/>
      <c r="F11" s="8"/>
      <c r="G11" s="8"/>
      <c r="H11" s="8"/>
      <c r="I11" s="9"/>
      <c r="J11" s="9"/>
    </row>
    <row r="12" spans="1:10" ht="19.5" customHeight="1" hidden="1" thickBot="1">
      <c r="A12" s="442"/>
      <c r="B12" s="373"/>
      <c r="C12" s="453"/>
      <c r="D12" s="8"/>
      <c r="E12" s="8"/>
      <c r="F12" s="8"/>
      <c r="G12" s="8"/>
      <c r="H12" s="8"/>
      <c r="I12" s="9"/>
      <c r="J12" s="9"/>
    </row>
    <row r="13" spans="1:10" ht="0.75" customHeight="1" hidden="1">
      <c r="A13" s="442"/>
      <c r="B13" s="373"/>
      <c r="C13" s="453"/>
      <c r="D13" s="8"/>
      <c r="E13" s="8"/>
      <c r="F13" s="8"/>
      <c r="G13" s="8"/>
      <c r="H13" s="8"/>
      <c r="I13" s="9"/>
      <c r="J13" s="9"/>
    </row>
    <row r="14" spans="1:10" ht="19.5" customHeight="1">
      <c r="A14" s="446" t="s">
        <v>176</v>
      </c>
      <c r="B14" s="454" t="s">
        <v>177</v>
      </c>
      <c r="C14" s="452">
        <f>C5+C10</f>
        <v>219482</v>
      </c>
      <c r="D14" s="8"/>
      <c r="E14" s="8"/>
      <c r="F14" s="8"/>
      <c r="G14" s="8"/>
      <c r="H14" s="8"/>
      <c r="I14" s="9"/>
      <c r="J14" s="9"/>
    </row>
    <row r="15" spans="1:10" ht="19.5" customHeight="1">
      <c r="A15" s="446" t="s">
        <v>119</v>
      </c>
      <c r="B15" s="447" t="s">
        <v>111</v>
      </c>
      <c r="C15" s="452">
        <f>C16+C26</f>
        <v>219000</v>
      </c>
      <c r="D15" s="8"/>
      <c r="E15" s="8"/>
      <c r="F15" s="8"/>
      <c r="G15" s="8"/>
      <c r="H15" s="8"/>
      <c r="I15" s="9"/>
      <c r="J15" s="9"/>
    </row>
    <row r="16" spans="1:10" ht="19.5" customHeight="1">
      <c r="A16" s="442" t="s">
        <v>115</v>
      </c>
      <c r="B16" s="447" t="s">
        <v>244</v>
      </c>
      <c r="C16" s="452">
        <f>SUM(C17:C25)</f>
        <v>144000</v>
      </c>
      <c r="D16" s="8"/>
      <c r="E16" s="8"/>
      <c r="F16" s="8"/>
      <c r="G16" s="8"/>
      <c r="H16" s="8"/>
      <c r="I16" s="9"/>
      <c r="J16" s="9"/>
    </row>
    <row r="17" spans="1:10" ht="33.75" customHeight="1">
      <c r="A17" s="442"/>
      <c r="B17" s="374" t="s">
        <v>178</v>
      </c>
      <c r="C17" s="451">
        <v>50000</v>
      </c>
      <c r="D17" s="8"/>
      <c r="E17" s="8"/>
      <c r="F17" s="8"/>
      <c r="G17" s="8"/>
      <c r="H17" s="8"/>
      <c r="I17" s="9"/>
      <c r="J17" s="9"/>
    </row>
    <row r="18" spans="1:10" ht="45" customHeight="1">
      <c r="A18" s="442"/>
      <c r="B18" s="374" t="s">
        <v>181</v>
      </c>
      <c r="C18" s="453">
        <v>10000</v>
      </c>
      <c r="D18" s="8"/>
      <c r="E18" s="8"/>
      <c r="F18" s="8"/>
      <c r="G18" s="8"/>
      <c r="H18" s="8"/>
      <c r="I18" s="9"/>
      <c r="J18" s="9"/>
    </row>
    <row r="19" spans="1:10" ht="15">
      <c r="A19" s="442"/>
      <c r="B19" s="373" t="s">
        <v>513</v>
      </c>
      <c r="C19" s="453">
        <v>2000</v>
      </c>
      <c r="D19" s="8"/>
      <c r="E19" s="8"/>
      <c r="F19" s="8"/>
      <c r="G19" s="8"/>
      <c r="H19" s="8"/>
      <c r="I19" s="9"/>
      <c r="J19" s="9"/>
    </row>
    <row r="20" spans="1:10" ht="19.5" customHeight="1">
      <c r="A20" s="442"/>
      <c r="B20" s="373" t="s">
        <v>182</v>
      </c>
      <c r="C20" s="453">
        <f>33000-1500</f>
        <v>31500</v>
      </c>
      <c r="D20" s="8"/>
      <c r="E20" s="8"/>
      <c r="F20" s="8"/>
      <c r="G20" s="8"/>
      <c r="H20" s="8"/>
      <c r="I20" s="9"/>
      <c r="J20" s="9"/>
    </row>
    <row r="21" spans="1:10" ht="19.5" customHeight="1">
      <c r="A21" s="442"/>
      <c r="B21" s="373" t="s">
        <v>104</v>
      </c>
      <c r="C21" s="453">
        <f>43000-1000-2000</f>
        <v>40000</v>
      </c>
      <c r="D21" s="8"/>
      <c r="E21" s="8"/>
      <c r="F21" s="8"/>
      <c r="G21" s="8"/>
      <c r="H21" s="8"/>
      <c r="I21" s="9"/>
      <c r="J21" s="9"/>
    </row>
    <row r="22" spans="1:10" ht="19.5" customHeight="1">
      <c r="A22" s="442"/>
      <c r="B22" s="373" t="s">
        <v>485</v>
      </c>
      <c r="C22" s="453">
        <v>1000</v>
      </c>
      <c r="D22" s="8"/>
      <c r="E22" s="8"/>
      <c r="F22" s="8"/>
      <c r="G22" s="8"/>
      <c r="H22" s="8"/>
      <c r="I22" s="9"/>
      <c r="J22" s="9"/>
    </row>
    <row r="23" spans="1:10" ht="30" customHeight="1">
      <c r="A23" s="442"/>
      <c r="B23" s="374" t="s">
        <v>383</v>
      </c>
      <c r="C23" s="453">
        <v>7000</v>
      </c>
      <c r="D23" s="8"/>
      <c r="E23" s="8"/>
      <c r="F23" s="8"/>
      <c r="G23" s="8"/>
      <c r="H23" s="8"/>
      <c r="I23" s="9"/>
      <c r="J23" s="9"/>
    </row>
    <row r="24" spans="1:10" ht="30" customHeight="1">
      <c r="A24" s="442"/>
      <c r="B24" s="374" t="s">
        <v>384</v>
      </c>
      <c r="C24" s="453">
        <v>1000</v>
      </c>
      <c r="D24" s="8"/>
      <c r="E24" s="8"/>
      <c r="F24" s="8"/>
      <c r="G24" s="8"/>
      <c r="H24" s="8"/>
      <c r="I24" s="9"/>
      <c r="J24" s="9"/>
    </row>
    <row r="25" spans="1:10" ht="30" customHeight="1">
      <c r="A25" s="442"/>
      <c r="B25" s="374" t="s">
        <v>385</v>
      </c>
      <c r="C25" s="453">
        <v>1500</v>
      </c>
      <c r="D25" s="8"/>
      <c r="E25" s="8"/>
      <c r="F25" s="8"/>
      <c r="G25" s="8"/>
      <c r="H25" s="8"/>
      <c r="I25" s="9"/>
      <c r="J25" s="9"/>
    </row>
    <row r="26" spans="1:10" ht="19.5" customHeight="1">
      <c r="A26" s="442" t="s">
        <v>116</v>
      </c>
      <c r="B26" s="447" t="s">
        <v>245</v>
      </c>
      <c r="C26" s="452">
        <f>SUM(C27:C29)</f>
        <v>75000</v>
      </c>
      <c r="D26" s="8"/>
      <c r="E26" s="8"/>
      <c r="F26" s="8"/>
      <c r="G26" s="8"/>
      <c r="H26" s="8"/>
      <c r="I26" s="9"/>
      <c r="J26" s="9"/>
    </row>
    <row r="27" spans="1:10" ht="19.5" customHeight="1">
      <c r="A27" s="442"/>
      <c r="B27" s="374" t="s">
        <v>179</v>
      </c>
      <c r="C27" s="451">
        <v>6000</v>
      </c>
      <c r="D27" s="8"/>
      <c r="E27" s="8"/>
      <c r="F27" s="8"/>
      <c r="G27" s="8"/>
      <c r="H27" s="8"/>
      <c r="I27" s="9"/>
      <c r="J27" s="9"/>
    </row>
    <row r="28" spans="1:10" ht="48" customHeight="1">
      <c r="A28" s="442"/>
      <c r="B28" s="374" t="s">
        <v>180</v>
      </c>
      <c r="C28" s="451">
        <f>10000+6000+21000</f>
        <v>37000</v>
      </c>
      <c r="D28" s="8"/>
      <c r="E28" s="8"/>
      <c r="F28" s="8"/>
      <c r="G28" s="8"/>
      <c r="H28" s="8"/>
      <c r="I28" s="9"/>
      <c r="J28" s="9"/>
    </row>
    <row r="29" spans="1:10" ht="60" customHeight="1">
      <c r="A29" s="442"/>
      <c r="B29" s="374" t="s">
        <v>183</v>
      </c>
      <c r="C29" s="451">
        <f>2000+30000</f>
        <v>32000</v>
      </c>
      <c r="D29" s="8"/>
      <c r="E29" s="8"/>
      <c r="F29" s="8"/>
      <c r="G29" s="8"/>
      <c r="H29" s="8"/>
      <c r="I29" s="9"/>
      <c r="J29" s="9"/>
    </row>
    <row r="30" spans="1:10" ht="19.5" customHeight="1">
      <c r="A30" s="446" t="s">
        <v>136</v>
      </c>
      <c r="B30" s="447" t="s">
        <v>138</v>
      </c>
      <c r="C30" s="452">
        <f>C5+C10-C15</f>
        <v>482</v>
      </c>
      <c r="D30" s="8"/>
      <c r="E30" s="8"/>
      <c r="F30" s="8"/>
      <c r="G30" s="8"/>
      <c r="H30" s="8"/>
      <c r="I30" s="9"/>
      <c r="J30" s="9"/>
    </row>
    <row r="31" spans="1:10" ht="15.75" customHeight="1">
      <c r="A31" s="442" t="s">
        <v>115</v>
      </c>
      <c r="B31" s="449" t="s">
        <v>141</v>
      </c>
      <c r="C31" s="453">
        <v>482</v>
      </c>
      <c r="D31" s="8"/>
      <c r="E31" s="8"/>
      <c r="F31" s="8"/>
      <c r="G31" s="8"/>
      <c r="H31" s="8"/>
      <c r="I31" s="9"/>
      <c r="J31" s="9"/>
    </row>
    <row r="32" spans="1:10" ht="15" customHeight="1">
      <c r="A32" s="442" t="s">
        <v>116</v>
      </c>
      <c r="B32" s="449" t="s">
        <v>140</v>
      </c>
      <c r="C32" s="453">
        <v>0</v>
      </c>
      <c r="D32" s="8"/>
      <c r="E32" s="8"/>
      <c r="F32" s="8"/>
      <c r="G32" s="8"/>
      <c r="H32" s="8"/>
      <c r="I32" s="9"/>
      <c r="J32" s="9"/>
    </row>
    <row r="33" spans="1:10" ht="15.75" customHeight="1">
      <c r="A33" s="442" t="s">
        <v>117</v>
      </c>
      <c r="B33" s="449" t="s">
        <v>139</v>
      </c>
      <c r="C33" s="453">
        <v>0</v>
      </c>
      <c r="D33" s="8"/>
      <c r="E33" s="8"/>
      <c r="F33" s="8"/>
      <c r="G33" s="8"/>
      <c r="H33" s="8"/>
      <c r="I33" s="9"/>
      <c r="J33" s="9"/>
    </row>
    <row r="34" spans="1:10" ht="15.75" thickBot="1">
      <c r="A34" s="455" t="s">
        <v>106</v>
      </c>
      <c r="B34" s="456" t="s">
        <v>329</v>
      </c>
      <c r="C34" s="457">
        <v>0</v>
      </c>
      <c r="D34" s="8"/>
      <c r="E34" s="8"/>
      <c r="F34" s="8"/>
      <c r="G34" s="8"/>
      <c r="H34" s="8"/>
      <c r="I34" s="9"/>
      <c r="J34" s="9"/>
    </row>
    <row r="35" spans="1:10" ht="15">
      <c r="A35" s="8"/>
      <c r="B35" s="8"/>
      <c r="C35" s="8"/>
      <c r="D35" s="8"/>
      <c r="E35" s="8"/>
      <c r="F35" s="8"/>
      <c r="G35" s="8"/>
      <c r="H35" s="8"/>
      <c r="I35" s="9"/>
      <c r="J35" s="9"/>
    </row>
    <row r="36" spans="1:10" ht="15">
      <c r="A36" s="8"/>
      <c r="B36" s="8"/>
      <c r="C36" s="8"/>
      <c r="D36" s="8"/>
      <c r="E36" s="8"/>
      <c r="F36" s="8"/>
      <c r="G36" s="8"/>
      <c r="H36" s="8"/>
      <c r="I36" s="9"/>
      <c r="J36" s="9"/>
    </row>
    <row r="37" spans="1:10" ht="15">
      <c r="A37" s="8"/>
      <c r="B37" s="8"/>
      <c r="C37" s="8"/>
      <c r="D37" s="8"/>
      <c r="E37" s="8"/>
      <c r="F37" s="8"/>
      <c r="G37" s="8"/>
      <c r="H37" s="8"/>
      <c r="I37" s="9"/>
      <c r="J37" s="9"/>
    </row>
    <row r="38" spans="1:10" ht="15">
      <c r="A38" s="8"/>
      <c r="B38" s="8"/>
      <c r="C38" s="8"/>
      <c r="D38" s="8"/>
      <c r="E38" s="8"/>
      <c r="F38" s="8"/>
      <c r="G38" s="8"/>
      <c r="H38" s="8"/>
      <c r="I38" s="9"/>
      <c r="J38" s="9"/>
    </row>
    <row r="39" spans="1:10" ht="15">
      <c r="A39" s="8"/>
      <c r="B39" s="8"/>
      <c r="C39" s="8"/>
      <c r="D39" s="8"/>
      <c r="E39" s="8"/>
      <c r="F39" s="8"/>
      <c r="G39" s="8"/>
      <c r="H39" s="8"/>
      <c r="I39" s="9"/>
      <c r="J39" s="9"/>
    </row>
    <row r="40" spans="1:10" ht="15">
      <c r="A40" s="8"/>
      <c r="B40" s="8"/>
      <c r="C40" s="8"/>
      <c r="D40" s="8"/>
      <c r="E40" s="8"/>
      <c r="F40" s="8"/>
      <c r="G40" s="8"/>
      <c r="H40" s="8"/>
      <c r="I40" s="9"/>
      <c r="J40" s="9"/>
    </row>
    <row r="41" spans="1:10" ht="1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5">
      <c r="A44" s="9"/>
      <c r="B44" s="9"/>
      <c r="C44" s="9"/>
      <c r="D44" s="9"/>
      <c r="E44" s="9"/>
      <c r="F44" s="9"/>
      <c r="G44" s="9"/>
      <c r="H44" s="9"/>
      <c r="I44" s="9"/>
      <c r="J44" s="9"/>
    </row>
  </sheetData>
  <mergeCells count="2">
    <mergeCell ref="A1:C1"/>
    <mergeCell ref="A2:C2"/>
  </mergeCells>
  <printOptions horizontalCentered="1" verticalCentered="1"/>
  <pageMargins left="0.5905511811023623" right="0.5905511811023623" top="0.25" bottom="0.5905511811023623" header="0.25" footer="0.5118110236220472"/>
  <pageSetup horizontalDpi="600" verticalDpi="600" orientation="portrait" paperSize="9" r:id="rId1"/>
  <headerFooter alignWithMargins="0">
    <oddHeader>&amp;RZałącznik Nr 10 
do Uchwały Rady Powiatu nr XII/      /07
z dnia 25 października 2007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Grazyna</cp:lastModifiedBy>
  <cp:lastPrinted>2007-10-25T12:12:13Z</cp:lastPrinted>
  <dcterms:created xsi:type="dcterms:W3CDTF">1998-12-09T13:02:10Z</dcterms:created>
  <dcterms:modified xsi:type="dcterms:W3CDTF">2007-10-26T09:30:19Z</dcterms:modified>
  <cp:category/>
  <cp:version/>
  <cp:contentType/>
  <cp:contentStatus/>
</cp:coreProperties>
</file>