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8430" windowHeight="5895" tabRatio="771" activeTab="1"/>
  </bookViews>
  <sheets>
    <sheet name="zał2-sfin" sheetId="1" r:id="rId1"/>
    <sheet name="zał3-prog wielol" sheetId="2" r:id="rId2"/>
    <sheet name="zał4-zadania inwestycyjne" sheetId="3" r:id="rId3"/>
    <sheet name="zał5-projekty unia" sheetId="4" r:id="rId4"/>
    <sheet name="zał 6-zlecone" sheetId="5" r:id="rId5"/>
    <sheet name="zał7-poroz" sheetId="6" r:id="rId6"/>
    <sheet name="zał8-gosp" sheetId="7" r:id="rId7"/>
    <sheet name="zał9-zadania" sheetId="8" r:id="rId8"/>
    <sheet name="zał10-inne dotacje" sheetId="9" r:id="rId9"/>
    <sheet name="zał11-progn" sheetId="10" r:id="rId10"/>
    <sheet name="zał12-syt finans" sheetId="11" r:id="rId11"/>
  </sheets>
  <definedNames>
    <definedName name="_xlnm.Print_Titles" localSheetId="4">'zał 6-zlecone'!$9:$10</definedName>
    <definedName name="_xlnm.Print_Titles" localSheetId="9">'zał11-progn'!$A:$B</definedName>
    <definedName name="_xlnm.Print_Titles" localSheetId="10">'zał12-syt finans'!$A:$B</definedName>
    <definedName name="_xlnm.Print_Titles" localSheetId="2">'zał4-zadania inwestycyjne'!$10:$13</definedName>
    <definedName name="_xlnm.Print_Titles" localSheetId="3">'zał5-projekty unia'!$7:$13</definedName>
    <definedName name="_xlnm.Print_Titles" localSheetId="5">'zał7-poroz'!$8:$11</definedName>
  </definedNames>
  <calcPr fullCalcOnLoad="1"/>
</workbook>
</file>

<file path=xl/sharedStrings.xml><?xml version="1.0" encoding="utf-8"?>
<sst xmlns="http://schemas.openxmlformats.org/spreadsheetml/2006/main" count="1085" uniqueCount="507">
  <si>
    <t>Dział 851 Rozdział 85111</t>
  </si>
  <si>
    <t xml:space="preserve">Program Operacyjny dla wykorzystania środków finansowych w ramach Mechanizmu Finansowego Europejskiego Obszaru Gospodarczego oraz Norweskiego Mechanizmu Finansowego </t>
  </si>
  <si>
    <t>Priorytet: 5. Opieka zdrowotna i opieka nad dzieckiem</t>
  </si>
  <si>
    <t>„Poprawa opieki perinatalnej gwarancją zdrowia społeczności lokalnej powiatu iławskiego”</t>
  </si>
  <si>
    <t>Miasto Toruń -      3.734,-zł</t>
  </si>
  <si>
    <t>Powiat Działdowski - 0,-zł</t>
  </si>
  <si>
    <t>Powiat Nidzica - 40.512,-zł</t>
  </si>
  <si>
    <t>Powiat Kwidzyński -      21.082,-zł</t>
  </si>
  <si>
    <t>Projekt i budowa chodnika dł. 650 m w miejscowości Grabowo do szkoły - droga powiatowa Nr 1214N Kałduny-Rożental-Wałdyki</t>
  </si>
  <si>
    <t>Powiatowy Zarząd Dróg</t>
  </si>
  <si>
    <t>Projekt przebudowy drogi powiatowej Nr 1231N Gierłoż-Zielkowo-Byszwałd dł. 750 m</t>
  </si>
  <si>
    <t xml:space="preserve">                     Załącznik Nr 4</t>
  </si>
  <si>
    <t xml:space="preserve">                     Załącznik Nr 7</t>
  </si>
  <si>
    <t xml:space="preserve">                     Załącznik Nr 12</t>
  </si>
  <si>
    <t xml:space="preserve">Projekt przebudowy drogi powiatowej Nr 1910N Susz-Kisielice dł. 13,8 km </t>
  </si>
  <si>
    <t>Generalna przebudowa mostu w ciągu drogi powiatowej Nr 1307N Jerzwałd Dobrzyki - Zalewo w Dobrzykach nad kanałem Dobrzyckim</t>
  </si>
  <si>
    <t>Partycypacja w kosztach montażu drzwi wewnętrznych z automatycznym czytnikiem kart, ogrodzenia i bramy przemysłowej dwuskrzydłowej wraz ze szlabanem sterowanym automatycznie przy wjeździe na parking z tyłu budynku Starostwa Powiatowego w Iławie</t>
  </si>
  <si>
    <t xml:space="preserve">Prowadzenie Biblioteki Powiatowej przez Miejską Bibliotekę Publiczną w Iławie </t>
  </si>
  <si>
    <t xml:space="preserve">Dotacja podmiotowa z budżetu dla samodzielnego publicznego zakładu opieki zdrowotnej utworzonego przez jednostkę samorządu terytorialnego - współfinansowanie projektu "Poprawa opieki perinatalnej gwaracja zdrowia społeczności lokalnej powiatu iławskiego" - badania profilaktyczne kobiet ciężarnych i innych zadań związanych z realizacją projektu </t>
  </si>
  <si>
    <t xml:space="preserve">Dotacje celowe z budżetu na finansowanie lub dofinansowanie kosztów realizacji inwestycji i zakupów inwestycyjnych innych jednostek sektora finansów publicznych - współfinansowanie projektu "Poprawa opieki perinatalnej gwaracja zdrowia społeczności lokalnej powiatu iławskiego" - zakup sprzętu specjalistycznego 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</si>
  <si>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</si>
  <si>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</si>
  <si>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</si>
  <si>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</si>
  <si>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</si>
  <si>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</si>
  <si>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</si>
  <si>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</si>
  <si>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Gmina Miejska Iława -      52.800,-                                (w tym: utrzymanie chodników lato-zima : 22.000,- zł)</t>
  </si>
  <si>
    <t xml:space="preserve">Nauka religii bizantyjsko-ukraińskiej  - Gmina Miejska Iława </t>
  </si>
  <si>
    <t>Pokrywanie kosztów utrzymania dzieci i młodzieży z terenu naszego powiatu umieszczonych w placówkach opiekuńczo-wychowawczych na terenie innego powiatu</t>
  </si>
  <si>
    <t>Stan środków obrotowych** na początek roku</t>
  </si>
  <si>
    <t>**) stan środków pieniężnych</t>
  </si>
  <si>
    <t>*) w rachunku dochodów własnych - dochody</t>
  </si>
  <si>
    <t>***) źródła dochodów wskazanych przez Zarząd</t>
  </si>
  <si>
    <t>Wydatki bieżące</t>
  </si>
  <si>
    <t>Nazwa</t>
  </si>
  <si>
    <t>Rok 2009</t>
  </si>
  <si>
    <t>Nazwa zadania inwestycyjnego okres realizacji (w latach)</t>
  </si>
  <si>
    <t>Łączne koszty finansowe</t>
  </si>
  <si>
    <t>11.</t>
  </si>
  <si>
    <t>12.</t>
  </si>
  <si>
    <t>Rok budżetowy 2007 (6+7+8+9)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</si>
  <si>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</si>
  <si>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</si>
  <si>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</si>
  <si>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</si>
  <si>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</si>
  <si>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2009 r.</t>
  </si>
  <si>
    <t>2010 r.</t>
  </si>
  <si>
    <t xml:space="preserve">Wydatki* na programy i projekty realizowane ze środków pochodzacych z funduszy strukturalnych i Funduszu Spójności </t>
  </si>
  <si>
    <t>w tym wydatki na wieloletnie programy inwestycyjne</t>
  </si>
  <si>
    <t xml:space="preserve">Wydatki bieżące </t>
  </si>
  <si>
    <t>spłata pożyczek, kredytów zaciągniętych w związku ze środkami określonymi w umowie zawartej z podmiotem dysponującym z funduszami strukturalnymi lub F.S.U.E</t>
  </si>
  <si>
    <t>odsetki</t>
  </si>
  <si>
    <t>Spłata zaciągnietych pożyczek, kredytów, w tym:</t>
  </si>
  <si>
    <t>B.</t>
  </si>
  <si>
    <t>Spłata przewidywanych pożyczek, kredytów, w tym:</t>
  </si>
  <si>
    <t>Wartość udzielonych poręczeń</t>
  </si>
  <si>
    <t>Wykup papierów wartosciowych</t>
  </si>
  <si>
    <t>C.</t>
  </si>
  <si>
    <t>D.</t>
  </si>
  <si>
    <t>PLANOWANA ŁĄCZNA KWOTA DŁUGU NA 31/12 DANEGO ROKU, w tym:</t>
  </si>
  <si>
    <t>Dług zaciągnietejw związku ze środkami określonymi w umowie zawartej z podmiotem dysponującym funduszami strukturalnymi lub F.S.U.E</t>
  </si>
  <si>
    <t>E.</t>
  </si>
  <si>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</si>
  <si>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</si>
  <si>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</si>
  <si>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</si>
  <si>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</si>
  <si>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</si>
  <si>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</si>
  <si>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</si>
  <si>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</si>
  <si>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</si>
  <si>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</si>
  <si>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</si>
  <si>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</si>
  <si>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</si>
  <si>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</si>
  <si>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</si>
  <si>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Przychody *)</t>
  </si>
  <si>
    <t>OGÓŁEM</t>
  </si>
  <si>
    <t xml:space="preserve">w złotych </t>
  </si>
  <si>
    <t>PROGNOZA</t>
  </si>
  <si>
    <t>Prognoza</t>
  </si>
  <si>
    <t>Dochody własne , w tym  :</t>
  </si>
  <si>
    <t>udziały w podatkach stanowiących dochód budżetu powiatu</t>
  </si>
  <si>
    <t>dochody z majątku powiatu</t>
  </si>
  <si>
    <t>pozostałe dochody</t>
  </si>
  <si>
    <t>Dotacje celowe na zadania z zakresu administracji rządowej</t>
  </si>
  <si>
    <t>Pozostałe dotacje</t>
  </si>
  <si>
    <t>obsługa długu publicznego - spłata odsetek</t>
  </si>
  <si>
    <t xml:space="preserve">     od zaciągniętych kredytów</t>
  </si>
  <si>
    <t xml:space="preserve">     od emisji obligacji</t>
  </si>
  <si>
    <t>Wydatki majątkowe</t>
  </si>
  <si>
    <t>WYNIK ROKU BUDŻETOWEGO</t>
  </si>
  <si>
    <t>STAN ZADŁUŻENIA POWIATU Z TYTUŁU KREDYTÓW I OBLIGACJI NA 31/12 ROKU UBIEGŁEGO</t>
  </si>
  <si>
    <t>Emisja obligacji</t>
  </si>
  <si>
    <t>Wykup obligacji</t>
  </si>
  <si>
    <t>STAN ZADŁUŻENIA POWIATU Z TYTUŁU KREDYTÓW NA 31/12 ROKU BUDŻETOWEGO</t>
  </si>
  <si>
    <t>KWOTY PRZYPADAJĄCEGO DO SPŁATY W DANYM ROKU BUDŻETOWYM RAT KREDYTÓW, WYKUP OBLIGACJI I ODSETEK ORAZ SPŁATA UDZIELONYCH PORĘCZEŃ W STOSUNKU DO DOCHODÓW</t>
  </si>
  <si>
    <t>Zadłużenie z tytułu kredytów, w tym:</t>
  </si>
  <si>
    <t>Wyszczególnienie</t>
  </si>
  <si>
    <t>4.</t>
  </si>
  <si>
    <t>Dział</t>
  </si>
  <si>
    <t>Rozdział</t>
  </si>
  <si>
    <t>Treść</t>
  </si>
  <si>
    <t>Kwota</t>
  </si>
  <si>
    <t>Wydatki</t>
  </si>
  <si>
    <t>L.p.</t>
  </si>
  <si>
    <t>I.</t>
  </si>
  <si>
    <t>1.</t>
  </si>
  <si>
    <t>2.</t>
  </si>
  <si>
    <t>3.</t>
  </si>
  <si>
    <t>II.</t>
  </si>
  <si>
    <t>III.</t>
  </si>
  <si>
    <t>Wyemitowane papiery wartościowe</t>
  </si>
  <si>
    <t>5.</t>
  </si>
  <si>
    <t>Kredyty</t>
  </si>
  <si>
    <t>Pożyczki</t>
  </si>
  <si>
    <t>Przyjęte depozyty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</si>
  <si>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</si>
  <si>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</si>
  <si>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</si>
  <si>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</si>
  <si>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</si>
  <si>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</si>
  <si>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</si>
  <si>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</si>
  <si>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</si>
  <si>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Dochody ogółem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</si>
  <si>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</si>
  <si>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</si>
  <si>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</si>
  <si>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</si>
  <si>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</si>
  <si>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</si>
  <si>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</si>
  <si>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</si>
  <si>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</si>
  <si>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</si>
  <si>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</si>
  <si>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</si>
  <si>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</si>
  <si>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</si>
  <si>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</si>
  <si>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</si>
  <si>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</si>
  <si>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</si>
  <si>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</si>
  <si>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</si>
  <si>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</si>
  <si>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</si>
  <si>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</si>
  <si>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</si>
  <si>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</si>
  <si>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</si>
  <si>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</si>
  <si>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Nazwa zadania</t>
  </si>
  <si>
    <t>w złotych</t>
  </si>
  <si>
    <t>§ 991</t>
  </si>
  <si>
    <t>Z dochodów przeznacza się na spłatę kredytów i pożyczek (IV)</t>
  </si>
  <si>
    <t>Lp.</t>
  </si>
  <si>
    <t>Subwencje</t>
  </si>
  <si>
    <t>Dotacje celowe na zadania własne</t>
  </si>
  <si>
    <t>RAZEM</t>
  </si>
  <si>
    <t>Ogółem</t>
  </si>
  <si>
    <t>w tym: dotacja                                                                                                                                        z budżetu</t>
  </si>
  <si>
    <t>w tym: wpłata                   do budżetu</t>
  </si>
  <si>
    <t>I</t>
  </si>
  <si>
    <t>-</t>
  </si>
  <si>
    <t>II</t>
  </si>
  <si>
    <t>GOSPODARSTWA POMOCNICZE  w tym:</t>
  </si>
  <si>
    <t>Zespół Szkół Warsztaty Szkolne w Lubawie,                                        ul. Kupnera 123</t>
  </si>
  <si>
    <t>Zespół Szkół Rolniczych Gospodarstwo Pomocnicze w Kisielicach, ul. Szkolna 4</t>
  </si>
  <si>
    <t>Zespól Szkół Warsztaty Szkolne w Iławie ul. Mierosławskiego 10</t>
  </si>
  <si>
    <t>Powiatowy Zarząd Dróg w Iławie</t>
  </si>
  <si>
    <t>Dom Pomocy Społecznej w Lubawie</t>
  </si>
  <si>
    <t>Zespół Szkół w Iławie, ul. Kopernika 8a</t>
  </si>
  <si>
    <t>Zespół Szkół Zawodowych w Iławie, ul. Mierosławskiego 10</t>
  </si>
  <si>
    <t>Zespół Szkół Rolniczych w Kisielicach</t>
  </si>
  <si>
    <t>9.</t>
  </si>
  <si>
    <t>Zespół Szkół Ogólnokształcących w Iławie</t>
  </si>
  <si>
    <t>10.</t>
  </si>
  <si>
    <t>Zespół Szkół w Lubawie</t>
  </si>
  <si>
    <t>Paragraf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</si>
  <si>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</si>
  <si>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</si>
  <si>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</si>
  <si>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</si>
  <si>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</si>
  <si>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za zadania bieżące z zakresu administracji rządowej oraz inne zadania zlecone ustawami realizowane przez powiat</t>
  </si>
  <si>
    <t>TRANSPORT I ŁĄCZNOŚĆ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</si>
  <si>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</si>
  <si>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</si>
  <si>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</si>
  <si>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</si>
  <si>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</si>
  <si>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</si>
  <si>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</si>
  <si>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</si>
  <si>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</si>
  <si>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</si>
  <si>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</si>
  <si>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</si>
  <si>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</si>
  <si>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</si>
  <si>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</si>
  <si>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</si>
  <si>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</si>
  <si>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</si>
  <si>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</si>
  <si>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</si>
  <si>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</si>
  <si>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</si>
  <si>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Państowej Straży Pożarnej</t>
  </si>
  <si>
    <t>75414</t>
  </si>
  <si>
    <t>Obrona cywilna</t>
  </si>
  <si>
    <t>OŚWIATA I WYCHOWANIE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</si>
  <si>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</si>
  <si>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</si>
  <si>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</si>
  <si>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</si>
  <si>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</si>
  <si>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85203</t>
  </si>
  <si>
    <t>Ośrodki wsparcia</t>
  </si>
  <si>
    <t>POMOC SPOŁECZNA</t>
  </si>
  <si>
    <t>WYDATKI OGÓŁEM</t>
  </si>
  <si>
    <t xml:space="preserve">  Dochody i wydatki związane z realizacją zadań z zakresu administracji rządowej </t>
  </si>
  <si>
    <t>OPIEKA SPOŁECZNA</t>
  </si>
  <si>
    <t xml:space="preserve">              OGÓŁEM</t>
  </si>
  <si>
    <t>KLASYFIKACJA</t>
  </si>
  <si>
    <t>Dofinansowanie dla Samorządu Województwa Warmińsko-Mazurskiego na realizację zadań związanych z funkcjonowaniem Biura Regionalnego w Brukseli</t>
  </si>
  <si>
    <t xml:space="preserve">Partycypacja w kosztach utrzymania pomieszczeń w budynkach szkoły w Zalewie w zakresie wykorzystywanych do nauki w zakresie LO dla dorosłych  </t>
  </si>
  <si>
    <t>Lata realizacji</t>
  </si>
  <si>
    <t>Nakłady poniesione do 31.XII.2004</t>
  </si>
  <si>
    <t>Pozostałe nakłady do poniesienia (8+12+13+14)</t>
  </si>
  <si>
    <t>Jednostka organizacyjna realizująca zadanie</t>
  </si>
  <si>
    <t>Rok 2006</t>
  </si>
  <si>
    <t>Kredyty i pożyczki</t>
  </si>
  <si>
    <t>Rodzaj zadłużenia</t>
  </si>
  <si>
    <t xml:space="preserve">Przewidywany stan na koniec roku </t>
  </si>
  <si>
    <t>Wymagalne zobowiązania, wynikające z następujących tytułów:</t>
  </si>
  <si>
    <t xml:space="preserve">   a) ustaw</t>
  </si>
  <si>
    <t xml:space="preserve">   b) orzeczeń sądu</t>
  </si>
  <si>
    <t xml:space="preserve">   c) udzielonych poręczeń i gwarancji</t>
  </si>
  <si>
    <t xml:space="preserve">   d) innych tytułów</t>
  </si>
  <si>
    <t>Łączna kwota długu na koniec roku budżetowego</t>
  </si>
  <si>
    <t>Procentowy udział długu w dochodach</t>
  </si>
  <si>
    <t xml:space="preserve">                     Załącznik Nr 8</t>
  </si>
  <si>
    <t>Zapewnienie bezpiecznego wypoczynku na akwenach wodnychwypoczywających mieszkańców Powiatu oraz przybyłych turystów</t>
  </si>
  <si>
    <t>Promocja zdrowia w powiecie iławskim</t>
  </si>
  <si>
    <t>Realizacja programu "Równe Szanse" polegającego na wspieraniu pomocą stypendialną studentów i uczniów szkół ponadgimnazjalnych</t>
  </si>
  <si>
    <t>Dofinansowanie imprez sportowych i rekreacyjnych dla mieszkańców powiatu</t>
  </si>
  <si>
    <t>Ogółem kwota dotacji</t>
  </si>
  <si>
    <t>Ochrona zdrowia</t>
  </si>
  <si>
    <t>Szpitale ogólne</t>
  </si>
  <si>
    <t xml:space="preserve">Starostwo Powiatowe </t>
  </si>
  <si>
    <t>Współfinansowanie kosztów zatrudnienia pracownika oddelegowanego do pracy w Międzyzwiązkowej Organizacji Związkowej obsługującego szkoły i placówki na terenie miasta Iława - porozumienie z miastem Iława</t>
  </si>
  <si>
    <t>Dotacja dla budżetu Miasta Katowice na pokrycie kosztów utrzymania dziecka w rodzinie zastępczej</t>
  </si>
  <si>
    <t>RACHUNEK DOCHODÓW WŁASNYCH w tym:</t>
  </si>
  <si>
    <t xml:space="preserve">                     Załącznik Nr 3</t>
  </si>
  <si>
    <t xml:space="preserve"> 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</si>
  <si>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</si>
  <si>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</si>
  <si>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</si>
  <si>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</si>
  <si>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</si>
  <si>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</si>
  <si>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</si>
  <si>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</si>
  <si>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</si>
  <si>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</si>
  <si>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</si>
  <si>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</si>
  <si>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</si>
  <si>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</si>
  <si>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</si>
  <si>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</si>
  <si>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</si>
  <si>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</si>
  <si>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</si>
  <si>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</si>
  <si>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</si>
  <si>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</si>
  <si>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</si>
  <si>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</si>
  <si>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</si>
  <si>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</si>
  <si>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2008 r.</t>
  </si>
  <si>
    <t>1.3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</si>
  <si>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</si>
  <si>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</si>
  <si>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</si>
  <si>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</si>
  <si>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1.4</t>
  </si>
  <si>
    <t>DOCHODY OGÓŁEM</t>
  </si>
  <si>
    <t>SPŁATA ZOBOWIĄZAŃ (A+B+C+D)</t>
  </si>
  <si>
    <t>A.</t>
  </si>
  <si>
    <t xml:space="preserve">1. </t>
  </si>
  <si>
    <t>spłata pożyczek, kredytów krajowych</t>
  </si>
  <si>
    <t>Dział 600 Rozdział 60014</t>
  </si>
  <si>
    <t xml:space="preserve">                     Załącznik Nr 6</t>
  </si>
  <si>
    <t>Dotacje ogółem</t>
  </si>
  <si>
    <t>Pochodne od wynagrodzeń</t>
  </si>
  <si>
    <t>Wynagrodzenia</t>
  </si>
  <si>
    <t xml:space="preserve">Dochody i wydatki związane z realizacją zadań realizowanych </t>
  </si>
  <si>
    <t>Stan środków obrotowych** na koniec roku</t>
  </si>
  <si>
    <t>§ 2650, § 2660</t>
  </si>
  <si>
    <t>inwestycje</t>
  </si>
  <si>
    <t>Zespół Placówek Szkolno-Wychowawczych w Iławie</t>
  </si>
  <si>
    <t xml:space="preserve">Plany przychodów i wydatków gospodarstw pomocniczych </t>
  </si>
  <si>
    <t>Powiatowe Centrum Kształcenia Praktycznego w Iławie</t>
  </si>
  <si>
    <t xml:space="preserve">                     Załącznik Nr 9</t>
  </si>
  <si>
    <t>Kwota dotacji</t>
  </si>
  <si>
    <t xml:space="preserve">           Dotacje celowe na zadania własne powiatu realizowane przez podmioty należące</t>
  </si>
  <si>
    <t>Dofinansowanie imprez kulturalnych o zasięgu powiatowym</t>
  </si>
  <si>
    <t>środki pochodzące z innych źródeł</t>
  </si>
  <si>
    <t xml:space="preserve">                     Załącznik Nr 10</t>
  </si>
  <si>
    <t>DŁUG/DOCHODY (%) (art.. 170 ust.1 u.f.p.))</t>
  </si>
  <si>
    <t>Spłaty kredytów, pozyczek do dochodów (%) (art.. 169 ust.1 u.f.p.))</t>
  </si>
  <si>
    <t>DŁUG/DOCHODY (%) (art.. 170 ust.3 u.f.p.))</t>
  </si>
  <si>
    <t>Spłaty kredytów, pozyczek do dochodów (%) (art.. 169 ust.3 u.f.p.))</t>
  </si>
  <si>
    <t>Plan na rok 2008</t>
  </si>
  <si>
    <t>Dotacje celowe otrzymane z budżetu państwa na inwestycje i zakupy inwestycyjne z zakresu administracji rządowej oraz inne zadania zlecone ustawami realizowane przez powiat</t>
  </si>
  <si>
    <t xml:space="preserve"> na podstawie porozumień (umów) między jednostkami samorządu terytorialnego w 2008 r.</t>
  </si>
  <si>
    <t>Gmina Miejska Lubawa - 36.200,-</t>
  </si>
  <si>
    <t>oraz dochodów i wydatków rachunków dochodów własnych na rok 2008</t>
  </si>
  <si>
    <t xml:space="preserve">             Inne dotacje udzielone w roku 2008</t>
  </si>
  <si>
    <t>Dotacje celowe z budżetu na finansowanie lub dofinansowanie kosztów realizacji inwestycji i zakupów inwestycyjnych innych jednostek sektora finansów publicznych - Modernizacja budynku bryły B Szpitala Powiatowego w Iławie - rewitalizacja</t>
  </si>
  <si>
    <t>i nienależące do sektora finansów publicznych w 2008 r.</t>
  </si>
  <si>
    <t>Gmina Miejska Zalewo: 30.164,-zł</t>
  </si>
  <si>
    <t>Partycypacja w kosztach utrzymania placówki opiekuńczo-wychowawczej w Kisielicach</t>
  </si>
  <si>
    <t>Przebudowa ul. Dąbrowskiego w Iławie - dotacja z Gminy Miejskiej Iława</t>
  </si>
  <si>
    <t>Powiat Ostródzki -         35.575,-zł</t>
  </si>
  <si>
    <t>Gmina Kisielice: 9.293,-zł</t>
  </si>
  <si>
    <t>Partycypacja w kosztach utrzymania placówki opiekuńczo-wychowawczej w Lubawie</t>
  </si>
  <si>
    <t>Powiat Szczytno -           7.006,-zł</t>
  </si>
  <si>
    <t>* A Środki i dotacje otrzymane od innych jednostek zaliczanych do sektora finansów publicznych</t>
  </si>
  <si>
    <t>A</t>
  </si>
  <si>
    <t>Priorytet 5. Infrastruktura transportowa regionalna i lokalna</t>
  </si>
  <si>
    <t>Działanie 5.2 Infrastruktura transportowa służąca rozwojowi lokalnemu</t>
  </si>
  <si>
    <t>Przebudowa drogi powiatowej Zalewo- Iława, odcinek Iława-Makowo oraz przebudowa mostu w Dubie</t>
  </si>
  <si>
    <t>2011 r.</t>
  </si>
  <si>
    <t>2012 r.</t>
  </si>
  <si>
    <t>2013 r.</t>
  </si>
  <si>
    <t>Przebudowa drogi powiatowej nr 1329 w Iławie, ulicy Dąbrowskiego i ul. Zalewskiej</t>
  </si>
  <si>
    <t>Rok budżetowy 2008 (6+7+8+9)</t>
  </si>
  <si>
    <t>Rok 2010</t>
  </si>
  <si>
    <t>z tego: 2008r.</t>
  </si>
  <si>
    <t>Źródła sfinansowania deficytu lub rozdysponowanie                                                           nadwyżki budżetowej w 2008 r.</t>
  </si>
  <si>
    <t>Dochody do przekazania do budżetu państwa lub budżetu j.s.t.</t>
  </si>
  <si>
    <t>01008</t>
  </si>
  <si>
    <t>Melioracje wodne</t>
  </si>
  <si>
    <t>Gmina Wiejska Lubawa: 11.026,-zł</t>
  </si>
  <si>
    <t>Rozliczenie z budżetem z tytułu wpłat nadwyzek środków za 2007r.</t>
  </si>
  <si>
    <t xml:space="preserve">zakup klimatyzatorów </t>
  </si>
  <si>
    <t>zakup serwera plików</t>
  </si>
  <si>
    <t>zakup programu komputerowego ISO</t>
  </si>
  <si>
    <t>Komenda Powiatowa Państwowej Straży Pożarnej</t>
  </si>
  <si>
    <t>zakup samochodu towarowo-osobowego</t>
  </si>
  <si>
    <t>Dom Pomocy Społecznej                w Suszu</t>
  </si>
  <si>
    <t>Limity wydatków na wieloletnie programy inwestycyjne w latach 2008-2010</t>
  </si>
  <si>
    <t xml:space="preserve">Nazwa zadania inwestycyjnego </t>
  </si>
  <si>
    <t>Działania wspomagające szkoleniowo-informacyjnie organizacji pozarządowych</t>
  </si>
  <si>
    <t>Kredyty zaciągnięte w danym roku budżetowym:</t>
  </si>
  <si>
    <t>IX.1</t>
  </si>
  <si>
    <t>IX.2</t>
  </si>
  <si>
    <t>X.1</t>
  </si>
  <si>
    <t>X.2</t>
  </si>
  <si>
    <t xml:space="preserve">Modernizacja drogi powiatowej Nr 09583 Ogrodzieniec -Trupel na odcinku 3,1 km </t>
  </si>
  <si>
    <t>zakup samochodu 9 osobowego (bus)</t>
  </si>
  <si>
    <t>zakup łodzi ratowniczej z silnikiem zaburtowym</t>
  </si>
  <si>
    <t>zakup zestawu łaczności przewodowej dla nurków - centrala kpl</t>
  </si>
  <si>
    <t>zakup kamizelek ratowniczych wypornościowych - szt. 8</t>
  </si>
  <si>
    <t>Zakup komputera nurkowego i głębokościomierza - szt. 4</t>
  </si>
  <si>
    <t>zakup automatów nurkowych dwustopniowych - szt. 4</t>
  </si>
  <si>
    <t>zakup łacznika międzybutlowego z zaworem separującym - szt. 8</t>
  </si>
  <si>
    <t>zakup busol - szt. 4</t>
  </si>
  <si>
    <t>zakup butli nurkowych z zaworami umożliwiającymi łączenie w zestawy - szt. 16</t>
  </si>
  <si>
    <t>zakup masek pełnych umożliwiających zastosowanie łaczność - szt. 8</t>
  </si>
  <si>
    <t>zakup dodatkowy drugi stopień do automatu oddechowego - szt. 7</t>
  </si>
  <si>
    <t>Wydatki inwestycyjne jednoroczne w 2008 r.</t>
  </si>
  <si>
    <t xml:space="preserve">          zleconych powiatowi i innych zadań zleconych ustawami w 2008 roku</t>
  </si>
  <si>
    <t>Dochody przyznane z tyt. dotacji na realizację zadań z zakresu adm. rząd</t>
  </si>
  <si>
    <t>Zakup usług pozostałych</t>
  </si>
  <si>
    <t>2350</t>
  </si>
  <si>
    <t>Dochody budżetu państwa związane z realizacja zadań zlecanych jednostkom samorządu terytorialnego</t>
  </si>
  <si>
    <t>4110</t>
  </si>
  <si>
    <t>Składki na ubezpieczenie społeczne</t>
  </si>
  <si>
    <t>4120</t>
  </si>
  <si>
    <t>Składki na Fundusz Pracy</t>
  </si>
  <si>
    <t>4170</t>
  </si>
  <si>
    <t>Wynagrodzenia bezosobowe</t>
  </si>
  <si>
    <t>4270</t>
  </si>
  <si>
    <t>akup usług remontowych</t>
  </si>
  <si>
    <t>4300</t>
  </si>
  <si>
    <t>4400</t>
  </si>
  <si>
    <t>Opłaty za administrowanie i czynsze za budynki, lokale i pomieszczenia garażowe</t>
  </si>
  <si>
    <t>4430</t>
  </si>
  <si>
    <t>Różne opłaty i składki</t>
  </si>
  <si>
    <t>4480</t>
  </si>
  <si>
    <t>Podatek od nieruchomości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</si>
  <si>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</si>
  <si>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</si>
  <si>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</si>
  <si>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</si>
  <si>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</si>
  <si>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wynagrodzenia roczne</t>
  </si>
  <si>
    <t>4210</t>
  </si>
  <si>
    <t>Zakup materiałów i wyposażenia</t>
  </si>
  <si>
    <t>4370</t>
  </si>
  <si>
    <t>Opłaty z tytułu zakupu usług komunikacyjnych telefonii stacjonarnej</t>
  </si>
  <si>
    <t>Rózne opłaty i składki</t>
  </si>
  <si>
    <t>4440</t>
  </si>
  <si>
    <t>Odpisy na zakładowy fundusz świadczeń socjalnych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</si>
  <si>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</si>
  <si>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</si>
  <si>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</si>
  <si>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</si>
  <si>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4410</t>
  </si>
  <si>
    <t>Podróże służbowe krajowe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</si>
  <si>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</si>
  <si>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</si>
  <si>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</si>
  <si>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</si>
  <si>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</si>
  <si>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Uposażenie żołnieży zawodowych i nadterminowych oraz funkcjonariuszy</t>
  </si>
  <si>
    <t>4060</t>
  </si>
  <si>
    <t>Pozostałe należności żołnieży zawodowych i nadterminowych oraz funkcjonariuszy</t>
  </si>
  <si>
    <t>4070</t>
  </si>
  <si>
    <t>Nagrody roczne dla żołnieży zawodowych i nadterminowych oraz funkcjonariuszy</t>
  </si>
  <si>
    <t>4080</t>
  </si>
  <si>
    <t>Uposażenia i świadczenia pieniężne wypłacane przez okres roku żołnierzom i funkcjonariuszom zwolnionym ze służby</t>
  </si>
  <si>
    <t>4180</t>
  </si>
  <si>
    <t>Równowazniki pienieżne i ekwiwalenty dla żołnierzy i funkcjonariuszy</t>
  </si>
  <si>
    <t>4220</t>
  </si>
  <si>
    <t>Zakup środków żywności</t>
  </si>
  <si>
    <t>4250</t>
  </si>
  <si>
    <t>Zakup sprzętu i uzbrojenia</t>
  </si>
  <si>
    <t>4260</t>
  </si>
  <si>
    <t>Zakup energii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</si>
  <si>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</si>
  <si>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</si>
  <si>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</si>
  <si>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</si>
  <si>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</si>
  <si>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</si>
  <si>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</si>
  <si>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4500</t>
  </si>
  <si>
    <t>Pozostałe podatki na rzecz budżetów jednostek samorządu terytorialnego</t>
  </si>
  <si>
    <t>4510</t>
  </si>
  <si>
    <t>Opłaty na rzecz budżetu państwa</t>
  </si>
  <si>
    <t>6060</t>
  </si>
  <si>
    <t>Wydatki na zakupy inwestycyjne jednostek budżetowych</t>
  </si>
  <si>
    <t>85141</t>
  </si>
  <si>
    <t>Ratownictwo medyczne</t>
  </si>
  <si>
    <t>6220</t>
  </si>
  <si>
    <t>Dotacje celowe z budżetu na finansowanie lub dofinansowanie kosztów realizacji inwestycji i zakupów inwestycyjnych innych jednostek sektora finansów publicznych</t>
  </si>
  <si>
    <t>4130</t>
  </si>
  <si>
    <t>Składki na ubezpieczenie zdrowotne</t>
  </si>
  <si>
    <t>3020</t>
  </si>
  <si>
    <t xml:space="preserve">Wydatki osobowe nie zaliczone do wynagrodzeń </t>
  </si>
  <si>
    <t>Wynagrodzenie bezosobowe</t>
  </si>
  <si>
    <t>4590</t>
  </si>
  <si>
    <t>Kary i odszkodowania wypłacane na rzecz osób fizycznych</t>
  </si>
  <si>
    <t xml:space="preserve">                     Załącznik Nr 5</t>
  </si>
  <si>
    <t>Powiat Sztumski - 10.387,- zł</t>
  </si>
  <si>
    <t>Wykonanie 2007 r.</t>
  </si>
  <si>
    <t>Wykonanie</t>
  </si>
  <si>
    <t>Wykonanie 2007</t>
  </si>
  <si>
    <t>Dotacja na pokrycie kosztów utrzymania dzieci w rodzinie zastępczej w innych powiatach</t>
  </si>
  <si>
    <t>Powiat Janów Lubelski-  53.100,-zł</t>
  </si>
  <si>
    <t>Powiat Malborski - 7.906,-zł</t>
  </si>
  <si>
    <t>Komenda Powiatowa Państwowej Straży Pożarnej w Iławie</t>
  </si>
  <si>
    <t>Działanie 5.1 Rozbudowa i modernizacja infrastruktury transportowej warunkujacej rozwój regionalny</t>
  </si>
  <si>
    <t>Poprawa dostępności komunikacyjnej miasta - przebudowa drogi powiatowej ul. Rzepnikowskiego w Lubawie - dotacja z Gminy Miejskiej Lubawa</t>
  </si>
  <si>
    <t>1.2</t>
  </si>
  <si>
    <t>Dom Pomocy Społecznej                w Lubawie</t>
  </si>
  <si>
    <t>Znakowanie turystyczne regionu Warmii i Mazur</t>
  </si>
  <si>
    <t>Działanie 2.1 Regionalny Program Operacyjny Warmia i Mazury 2007-2013 - Wzrost potencjału turystycznego</t>
  </si>
  <si>
    <t>Priorytet 2. Turystyka</t>
  </si>
  <si>
    <t>Dział 630 Rozdział 63003</t>
  </si>
  <si>
    <t>4390</t>
  </si>
  <si>
    <t>Zakup usług obejmujących wykonanie ekspertyz, analiz i opinii</t>
  </si>
  <si>
    <t>4700</t>
  </si>
  <si>
    <t xml:space="preserve">Szkolenia pracowników niebędących członkami korpusu służby cywilnej </t>
  </si>
  <si>
    <t>1.5</t>
  </si>
  <si>
    <t>Porozumienie z Samorządem Województwa Warmińsko-Mazurskiego - znakowanie turystyczne regionu Warmii i Mazur</t>
  </si>
  <si>
    <t>dofinansowanie zakupu pięcioosobowego samochodu bus do przewozu osób niepełnosprawnych</t>
  </si>
  <si>
    <t>Regionalny Program Operacyjny Warmia i Mazury na lata 2007-2013</t>
  </si>
  <si>
    <t>Poprawa dostępności komunikacyjnej miasta - przebudowa drogi pow. ul. Rzepnikowskiego w Lubawie</t>
  </si>
  <si>
    <t>Działanie 5.1 Regionalny Program Operacyjny Warmia i Mazury 2007-2013 - Wzrost potencjału turystycznego</t>
  </si>
  <si>
    <t>Przebudowa ulicy Królowej Jadwigi od ulicy Niepodległości oraz skrzyżowanie ulicy Królowej Jadwigi i ulicy Sobieskiego w Iławie</t>
  </si>
  <si>
    <t>1.6</t>
  </si>
  <si>
    <t>Powiat Grodzki Elbląg -  38.755,-zł</t>
  </si>
  <si>
    <t>Powiat Gołdap-         23.791,-zł</t>
  </si>
  <si>
    <t>wykonanie elewacji budynku wraz z dociepleniem oraz remontem wewnętrznej instalacji centralnego ogrzewania i wymiennikowego węzła cieplnego</t>
  </si>
  <si>
    <t>modernizacja centrali alarmowej - wymiana okablowania i czujników ruchu na ciągach komunikacyjnych</t>
  </si>
  <si>
    <t>zakup agregatu oddymiajacego oraz dwóch kompletów aparatów ochrony dróg oddechowych</t>
  </si>
  <si>
    <t>zakup lekkiej łodzi ratowniczej z zaporami przeciwolejowymi</t>
  </si>
  <si>
    <t>zakup zmywarki do stołówki</t>
  </si>
  <si>
    <t>Zespół Szkół Ogólnokształcacych w Iławie</t>
  </si>
  <si>
    <t xml:space="preserve">                                      z dnia 30 czerwca 2008 roku</t>
  </si>
  <si>
    <t xml:space="preserve">                     Załącznik Nr 11</t>
  </si>
  <si>
    <t xml:space="preserve">                                      do Uchwały Rady Powiatu Nr XIX/141/08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</si>
</sst>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5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Times New Roman CE"/>
      <family val="1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3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0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sz val="12"/>
      <color indexed="9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sz val="11"/>
      <color indexed="10"/>
      <name val="Arial CE"/>
      <family val="2"/>
    </font>
    <font>
      <b/>
      <sz val="9"/>
      <color indexed="10"/>
      <name val="Arial CE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12"/>
      <color indexed="10"/>
      <name val="Arial CE"/>
      <family val="2"/>
    </font>
    <font>
      <b/>
      <sz val="8"/>
      <color indexed="10"/>
      <name val="Arial"/>
      <family val="2"/>
    </font>
    <font>
      <sz val="11"/>
      <color indexed="10"/>
      <name val="Times New Roman CE"/>
      <family val="1"/>
    </font>
    <font>
      <sz val="9"/>
      <color indexed="10"/>
      <name val="Arial CE"/>
      <family val="0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Arial"/>
      <family val="0"/>
    </font>
    <font>
      <sz val="6"/>
      <name val="Arial"/>
      <family val="0"/>
    </font>
    <font>
      <b/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9"/>
      <color indexed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>
      <alignment/>
      <protection/>
    </xf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1" fillId="0" borderId="0" xfId="0" applyFont="1" applyAlignment="1">
      <alignment horizontal="left"/>
    </xf>
    <xf numFmtId="0" fontId="22" fillId="0" borderId="0" xfId="0" applyFont="1" applyAlignment="1">
      <alignment vertical="top"/>
    </xf>
    <xf numFmtId="0" fontId="18" fillId="0" borderId="0" xfId="0" applyFont="1" applyAlignment="1">
      <alignment/>
    </xf>
    <xf numFmtId="0" fontId="10" fillId="0" borderId="0" xfId="0" applyFont="1" applyAlignment="1">
      <alignment vertical="top"/>
    </xf>
    <xf numFmtId="0" fontId="6" fillId="0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4" fontId="5" fillId="0" borderId="0" xfId="0" applyNumberFormat="1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0" xfId="18" applyFont="1">
      <alignment/>
      <protection/>
    </xf>
    <xf numFmtId="0" fontId="10" fillId="0" borderId="0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23" fillId="0" borderId="23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right" vertical="center" wrapText="1"/>
    </xf>
    <xf numFmtId="4" fontId="15" fillId="0" borderId="24" xfId="0" applyNumberFormat="1" applyFont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" fontId="23" fillId="0" borderId="20" xfId="0" applyNumberFormat="1" applyFont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7" fillId="0" borderId="0" xfId="18" applyFont="1">
      <alignment/>
      <protection/>
    </xf>
    <xf numFmtId="0" fontId="27" fillId="0" borderId="10" xfId="18" applyFont="1" applyBorder="1">
      <alignment/>
      <protection/>
    </xf>
    <xf numFmtId="3" fontId="27" fillId="0" borderId="10" xfId="18" applyNumberFormat="1" applyFont="1" applyBorder="1">
      <alignment/>
      <protection/>
    </xf>
    <xf numFmtId="0" fontId="33" fillId="0" borderId="0" xfId="18" applyFont="1">
      <alignment/>
      <protection/>
    </xf>
    <xf numFmtId="0" fontId="32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15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27" fillId="0" borderId="17" xfId="18" applyNumberFormat="1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3" fillId="2" borderId="19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4" fontId="6" fillId="0" borderId="39" xfId="0" applyNumberFormat="1" applyFont="1" applyFill="1" applyBorder="1" applyAlignment="1">
      <alignment horizontal="right" vertical="center"/>
    </xf>
    <xf numFmtId="4" fontId="35" fillId="0" borderId="0" xfId="0" applyNumberFormat="1" applyFont="1" applyAlignment="1">
      <alignment vertical="center"/>
    </xf>
    <xf numFmtId="4" fontId="6" fillId="0" borderId="40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0" fontId="26" fillId="0" borderId="3" xfId="18" applyFont="1" applyFill="1" applyBorder="1">
      <alignment/>
      <protection/>
    </xf>
    <xf numFmtId="3" fontId="26" fillId="0" borderId="10" xfId="18" applyNumberFormat="1" applyFont="1" applyBorder="1">
      <alignment/>
      <protection/>
    </xf>
    <xf numFmtId="0" fontId="26" fillId="0" borderId="10" xfId="18" applyFont="1" applyFill="1" applyBorder="1">
      <alignment/>
      <protection/>
    </xf>
    <xf numFmtId="3" fontId="26" fillId="0" borderId="17" xfId="18" applyNumberFormat="1" applyFont="1" applyBorder="1" applyAlignment="1">
      <alignment horizontal="center"/>
      <protection/>
    </xf>
    <xf numFmtId="3" fontId="26" fillId="0" borderId="19" xfId="18" applyNumberFormat="1" applyFont="1" applyBorder="1">
      <alignment/>
      <protection/>
    </xf>
    <xf numFmtId="3" fontId="26" fillId="0" borderId="8" xfId="18" applyNumberFormat="1" applyFont="1" applyBorder="1">
      <alignment/>
      <protection/>
    </xf>
    <xf numFmtId="3" fontId="26" fillId="0" borderId="20" xfId="18" applyNumberFormat="1" applyFont="1" applyBorder="1" applyAlignment="1">
      <alignment horizontal="center"/>
      <protection/>
    </xf>
    <xf numFmtId="3" fontId="26" fillId="0" borderId="19" xfId="18" applyNumberFormat="1" applyFont="1" applyBorder="1" applyAlignment="1">
      <alignment horizontal="center"/>
      <protection/>
    </xf>
    <xf numFmtId="3" fontId="26" fillId="0" borderId="21" xfId="18" applyNumberFormat="1" applyFont="1" applyBorder="1" applyAlignment="1">
      <alignment horizontal="center"/>
      <protection/>
    </xf>
    <xf numFmtId="3" fontId="26" fillId="0" borderId="18" xfId="18" applyNumberFormat="1" applyFont="1" applyBorder="1" applyAlignment="1">
      <alignment horizontal="center"/>
      <protection/>
    </xf>
    <xf numFmtId="3" fontId="26" fillId="0" borderId="16" xfId="18" applyNumberFormat="1" applyFont="1" applyBorder="1" applyAlignment="1">
      <alignment horizontal="center"/>
      <protection/>
    </xf>
    <xf numFmtId="3" fontId="26" fillId="0" borderId="22" xfId="18" applyNumberFormat="1" applyFont="1" applyBorder="1" applyAlignment="1">
      <alignment horizontal="center"/>
      <protection/>
    </xf>
    <xf numFmtId="3" fontId="26" fillId="0" borderId="23" xfId="18" applyNumberFormat="1" applyFont="1" applyBorder="1" applyAlignment="1">
      <alignment horizontal="center"/>
      <protection/>
    </xf>
    <xf numFmtId="3" fontId="26" fillId="0" borderId="24" xfId="18" applyNumberFormat="1" applyFont="1" applyBorder="1" applyAlignment="1">
      <alignment horizontal="center"/>
      <protection/>
    </xf>
    <xf numFmtId="0" fontId="26" fillId="0" borderId="10" xfId="18" applyFont="1" applyBorder="1">
      <alignment/>
      <protection/>
    </xf>
    <xf numFmtId="0" fontId="4" fillId="0" borderId="19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15" fillId="0" borderId="19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6" fillId="0" borderId="10" xfId="18" applyFont="1" applyBorder="1" applyAlignment="1">
      <alignment horizontal="center"/>
      <protection/>
    </xf>
    <xf numFmtId="3" fontId="36" fillId="0" borderId="25" xfId="0" applyNumberFormat="1" applyFont="1" applyBorder="1" applyAlignment="1">
      <alignment vertical="center"/>
    </xf>
    <xf numFmtId="3" fontId="36" fillId="0" borderId="26" xfId="0" applyNumberFormat="1" applyFont="1" applyBorder="1" applyAlignment="1">
      <alignment vertical="center"/>
    </xf>
    <xf numFmtId="3" fontId="36" fillId="2" borderId="27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vertical="center"/>
    </xf>
    <xf numFmtId="0" fontId="39" fillId="0" borderId="27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vertical="center"/>
    </xf>
    <xf numFmtId="3" fontId="36" fillId="0" borderId="28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26" fillId="0" borderId="10" xfId="18" applyFont="1" applyBorder="1" applyAlignment="1">
      <alignment horizontal="center" vertical="center" wrapText="1"/>
      <protection/>
    </xf>
    <xf numFmtId="0" fontId="40" fillId="0" borderId="10" xfId="18" applyFont="1" applyBorder="1" applyAlignment="1">
      <alignment horizontal="center" vertical="center" wrapText="1"/>
      <protection/>
    </xf>
    <xf numFmtId="0" fontId="41" fillId="0" borderId="10" xfId="18" applyFont="1" applyFill="1" applyBorder="1" applyAlignment="1">
      <alignment horizontal="center" vertical="center"/>
      <protection/>
    </xf>
    <xf numFmtId="0" fontId="41" fillId="0" borderId="10" xfId="18" applyFont="1" applyBorder="1" applyAlignment="1">
      <alignment horizontal="center" vertical="center"/>
      <protection/>
    </xf>
    <xf numFmtId="0" fontId="24" fillId="0" borderId="10" xfId="18" applyFont="1" applyFill="1" applyBorder="1" applyAlignment="1">
      <alignment horizontal="center"/>
      <protection/>
    </xf>
    <xf numFmtId="0" fontId="24" fillId="0" borderId="10" xfId="18" applyFont="1" applyFill="1" applyBorder="1">
      <alignment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4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4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/>
    </xf>
    <xf numFmtId="3" fontId="42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10" fontId="4" fillId="0" borderId="10" xfId="20" applyNumberFormat="1" applyFont="1" applyFill="1" applyBorder="1" applyAlignment="1">
      <alignment horizontal="center"/>
    </xf>
    <xf numFmtId="10" fontId="42" fillId="0" borderId="10" xfId="2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0" fontId="4" fillId="0" borderId="10" xfId="20" applyNumberFormat="1" applyFont="1" applyFill="1" applyBorder="1" applyAlignment="1">
      <alignment vertical="center"/>
    </xf>
    <xf numFmtId="10" fontId="42" fillId="0" borderId="10" xfId="2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4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4" fillId="0" borderId="10" xfId="18" applyNumberFormat="1" applyFont="1" applyBorder="1">
      <alignment/>
      <protection/>
    </xf>
    <xf numFmtId="0" fontId="26" fillId="0" borderId="0" xfId="18" applyFont="1">
      <alignment/>
      <protection/>
    </xf>
    <xf numFmtId="3" fontId="26" fillId="0" borderId="0" xfId="18" applyNumberFormat="1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3" fontId="2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4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4" fontId="0" fillId="0" borderId="17" xfId="0" applyNumberFormat="1" applyFont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 vertical="center"/>
    </xf>
    <xf numFmtId="4" fontId="42" fillId="0" borderId="3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42" fillId="0" borderId="17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3" fontId="26" fillId="0" borderId="10" xfId="18" applyNumberFormat="1" applyFont="1" applyFill="1" applyBorder="1">
      <alignment/>
      <protection/>
    </xf>
    <xf numFmtId="3" fontId="26" fillId="0" borderId="19" xfId="18" applyNumberFormat="1" applyFont="1" applyFill="1" applyBorder="1">
      <alignment/>
      <protection/>
    </xf>
    <xf numFmtId="3" fontId="26" fillId="0" borderId="8" xfId="18" applyNumberFormat="1" applyFont="1" applyFill="1" applyBorder="1">
      <alignment/>
      <protection/>
    </xf>
    <xf numFmtId="3" fontId="26" fillId="0" borderId="20" xfId="18" applyNumberFormat="1" applyFont="1" applyFill="1" applyBorder="1" applyAlignment="1">
      <alignment horizontal="center"/>
      <protection/>
    </xf>
    <xf numFmtId="3" fontId="26" fillId="0" borderId="19" xfId="18" applyNumberFormat="1" applyFont="1" applyFill="1" applyBorder="1" applyAlignment="1">
      <alignment horizontal="center"/>
      <protection/>
    </xf>
    <xf numFmtId="3" fontId="26" fillId="0" borderId="21" xfId="18" applyNumberFormat="1" applyFont="1" applyFill="1" applyBorder="1" applyAlignment="1">
      <alignment horizontal="center"/>
      <protection/>
    </xf>
    <xf numFmtId="3" fontId="26" fillId="0" borderId="18" xfId="18" applyNumberFormat="1" applyFont="1" applyFill="1" applyBorder="1" applyAlignment="1">
      <alignment horizontal="center"/>
      <protection/>
    </xf>
    <xf numFmtId="3" fontId="26" fillId="0" borderId="16" xfId="18" applyNumberFormat="1" applyFont="1" applyFill="1" applyBorder="1" applyAlignment="1">
      <alignment horizontal="center"/>
      <protection/>
    </xf>
    <xf numFmtId="3" fontId="26" fillId="0" borderId="22" xfId="18" applyNumberFormat="1" applyFont="1" applyFill="1" applyBorder="1" applyAlignment="1">
      <alignment horizontal="center"/>
      <protection/>
    </xf>
    <xf numFmtId="3" fontId="26" fillId="0" borderId="23" xfId="18" applyNumberFormat="1" applyFont="1" applyFill="1" applyBorder="1" applyAlignment="1">
      <alignment horizontal="center"/>
      <protection/>
    </xf>
    <xf numFmtId="3" fontId="26" fillId="0" borderId="17" xfId="18" applyNumberFormat="1" applyFont="1" applyFill="1" applyBorder="1" applyAlignment="1">
      <alignment horizontal="center"/>
      <protection/>
    </xf>
    <xf numFmtId="3" fontId="26" fillId="0" borderId="24" xfId="18" applyNumberFormat="1" applyFont="1" applyFill="1" applyBorder="1" applyAlignment="1">
      <alignment horizontal="center"/>
      <protection/>
    </xf>
    <xf numFmtId="0" fontId="26" fillId="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15" fillId="0" borderId="23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47" fillId="2" borderId="3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8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26" fillId="0" borderId="10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27" fillId="0" borderId="10" xfId="18" applyFont="1" applyFill="1" applyBorder="1" applyAlignment="1">
      <alignment horizontal="center" vertical="center"/>
      <protection/>
    </xf>
    <xf numFmtId="4" fontId="23" fillId="0" borderId="20" xfId="0" applyNumberFormat="1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3" fontId="28" fillId="3" borderId="19" xfId="0" applyNumberFormat="1" applyFont="1" applyFill="1" applyBorder="1" applyAlignment="1">
      <alignment vertical="center" wrapText="1"/>
    </xf>
    <xf numFmtId="3" fontId="28" fillId="3" borderId="16" xfId="0" applyNumberFormat="1" applyFont="1" applyFill="1" applyBorder="1" applyAlignment="1">
      <alignment vertical="center" wrapText="1"/>
    </xf>
    <xf numFmtId="0" fontId="28" fillId="3" borderId="17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vertical="center" wrapText="1"/>
    </xf>
    <xf numFmtId="3" fontId="28" fillId="0" borderId="16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7" fillId="0" borderId="19" xfId="18" applyFont="1" applyFill="1" applyBorder="1" applyAlignment="1">
      <alignment horizontal="center" vertical="center"/>
      <protection/>
    </xf>
    <xf numFmtId="0" fontId="27" fillId="0" borderId="16" xfId="18" applyFont="1" applyFill="1" applyBorder="1" applyAlignment="1">
      <alignment horizontal="center" vertical="center"/>
      <protection/>
    </xf>
    <xf numFmtId="0" fontId="27" fillId="0" borderId="17" xfId="18" applyFont="1" applyFill="1" applyBorder="1" applyAlignment="1">
      <alignment horizontal="center" vertical="center"/>
      <protection/>
    </xf>
    <xf numFmtId="0" fontId="26" fillId="0" borderId="19" xfId="18" applyFont="1" applyFill="1" applyBorder="1" applyAlignment="1">
      <alignment horizontal="center" vertical="center" wrapText="1"/>
      <protection/>
    </xf>
    <xf numFmtId="0" fontId="26" fillId="0" borderId="16" xfId="18" applyFont="1" applyFill="1" applyBorder="1" applyAlignment="1">
      <alignment horizontal="center" vertical="center" wrapText="1"/>
      <protection/>
    </xf>
    <xf numFmtId="0" fontId="26" fillId="0" borderId="17" xfId="18" applyFont="1" applyFill="1" applyBorder="1" applyAlignment="1">
      <alignment horizontal="center" vertical="center" wrapText="1"/>
      <protection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9" xfId="18" applyFont="1" applyFill="1" applyBorder="1" applyAlignment="1">
      <alignment horizontal="center" vertical="center"/>
      <protection/>
    </xf>
    <xf numFmtId="0" fontId="26" fillId="0" borderId="16" xfId="18" applyFont="1" applyFill="1" applyBorder="1" applyAlignment="1">
      <alignment horizontal="center" vertical="center"/>
      <protection/>
    </xf>
    <xf numFmtId="0" fontId="26" fillId="0" borderId="17" xfId="18" applyFont="1" applyFill="1" applyBorder="1" applyAlignment="1">
      <alignment horizontal="center" vertical="center"/>
      <protection/>
    </xf>
    <xf numFmtId="0" fontId="26" fillId="0" borderId="10" xfId="1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6" fillId="0" borderId="20" xfId="18" applyFont="1" applyFill="1" applyBorder="1" applyAlignment="1">
      <alignment horizontal="left" vertical="center"/>
      <protection/>
    </xf>
    <xf numFmtId="0" fontId="0" fillId="0" borderId="5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6" fillId="0" borderId="8" xfId="1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6" fillId="0" borderId="19" xfId="18" applyFont="1" applyBorder="1" applyAlignment="1">
      <alignment horizontal="center" vertical="center"/>
      <protection/>
    </xf>
    <xf numFmtId="0" fontId="26" fillId="0" borderId="16" xfId="18" applyFont="1" applyBorder="1" applyAlignment="1">
      <alignment horizontal="center" vertical="center"/>
      <protection/>
    </xf>
    <xf numFmtId="0" fontId="26" fillId="0" borderId="17" xfId="18" applyFont="1" applyBorder="1" applyAlignment="1">
      <alignment horizontal="center" vertical="center"/>
      <protection/>
    </xf>
    <xf numFmtId="0" fontId="26" fillId="0" borderId="19" xfId="18" applyFont="1" applyBorder="1" applyAlignment="1">
      <alignment horizontal="center" vertical="center" wrapText="1"/>
      <protection/>
    </xf>
    <xf numFmtId="0" fontId="26" fillId="0" borderId="16" xfId="18" applyFont="1" applyBorder="1" applyAlignment="1">
      <alignment horizontal="center" vertical="center" wrapText="1"/>
      <protection/>
    </xf>
    <xf numFmtId="0" fontId="26" fillId="0" borderId="17" xfId="18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3" fontId="27" fillId="0" borderId="19" xfId="18" applyNumberFormat="1" applyFont="1" applyBorder="1" applyAlignment="1">
      <alignment horizontal="center"/>
      <protection/>
    </xf>
    <xf numFmtId="3" fontId="27" fillId="0" borderId="16" xfId="18" applyNumberFormat="1" applyFont="1" applyBorder="1" applyAlignment="1">
      <alignment horizontal="center"/>
      <protection/>
    </xf>
    <xf numFmtId="3" fontId="27" fillId="0" borderId="17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center"/>
      <protection/>
    </xf>
    <xf numFmtId="0" fontId="26" fillId="0" borderId="10" xfId="18" applyFont="1" applyBorder="1" applyAlignment="1">
      <alignment horizontal="center" vertical="center"/>
      <protection/>
    </xf>
    <xf numFmtId="0" fontId="26" fillId="0" borderId="10" xfId="18" applyFont="1" applyBorder="1" applyAlignment="1">
      <alignment horizontal="center" vertical="center" wrapText="1"/>
      <protection/>
    </xf>
    <xf numFmtId="3" fontId="26" fillId="0" borderId="19" xfId="18" applyNumberFormat="1" applyFont="1" applyBorder="1" applyAlignment="1">
      <alignment horizontal="center"/>
      <protection/>
    </xf>
    <xf numFmtId="3" fontId="26" fillId="0" borderId="16" xfId="18" applyNumberFormat="1" applyFont="1" applyBorder="1" applyAlignment="1">
      <alignment horizontal="center"/>
      <protection/>
    </xf>
    <xf numFmtId="3" fontId="26" fillId="0" borderId="17" xfId="18" applyNumberFormat="1" applyFont="1" applyBorder="1" applyAlignment="1">
      <alignment horizontal="center"/>
      <protection/>
    </xf>
    <xf numFmtId="0" fontId="26" fillId="0" borderId="8" xfId="18" applyFont="1" applyBorder="1" applyAlignment="1">
      <alignment horizontal="center"/>
      <protection/>
    </xf>
    <xf numFmtId="0" fontId="26" fillId="0" borderId="3" xfId="18" applyFont="1" applyBorder="1" applyAlignment="1">
      <alignment horizontal="center"/>
      <protection/>
    </xf>
    <xf numFmtId="0" fontId="26" fillId="0" borderId="8" xfId="18" applyFont="1" applyFill="1" applyBorder="1" applyAlignment="1">
      <alignment horizontal="left" vertical="center" wrapText="1"/>
      <protection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6" fillId="0" borderId="0" xfId="18" applyFont="1" applyAlignment="1">
      <alignment horizontal="left"/>
      <protection/>
    </xf>
    <xf numFmtId="0" fontId="24" fillId="0" borderId="10" xfId="18" applyFont="1" applyBorder="1" applyAlignment="1">
      <alignment horizont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5" fillId="0" borderId="8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8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8" xfId="0" applyFont="1" applyFill="1" applyBorder="1" applyAlignment="1">
      <alignment vertical="center" wrapText="1"/>
    </xf>
    <xf numFmtId="0" fontId="45" fillId="0" borderId="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2" borderId="32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" name="Line 1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" name="Line 1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" name="Line 1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" name="Line 1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" name="Line 1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" name="Line 1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" name="Line 1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1" name="Line 2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2" name="Line 2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3" name="Line 2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" name="Line 2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" name="Line 2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6" name="Line 2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7" name="Line 2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8" name="Line 2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9" name="Line 2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0" name="Line 3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1" name="Line 3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2" name="Line 3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3" name="Line 3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" name="Line 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" name="Line 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6" name="Line 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7" name="Line 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" name="Line 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" name="Line 3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" name="Line 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" name="Line 4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2" name="Line 4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3" name="Line 4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" name="Line 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" name="Line 4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" name="Line 4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7" name="Line 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8" name="Line 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9" name="Line 4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0" name="Line 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" name="Line 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" name="Line 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" name="Line 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4" name="Line 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5" name="Line 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6" name="Line 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" name="Line 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" name="Line 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" name="Line 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0" name="Line 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1" name="Line 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" name="Line 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" name="Line 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5" name="Line 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6" name="Line 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8" name="Line 6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9" name="Line 6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0" name="Line 7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1" name="Line 7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" name="Line 7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5" name="Line 7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6" name="Line 7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7" name="Line 7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8" name="Line 7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" name="Line 7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0" name="Line 8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1" name="Line 8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2" name="Line 8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3" name="Line 8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4" name="Line 84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5" name="Line 85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6" name="Line 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" name="Line 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" name="Line 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" name="Line 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0" name="Line 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1" name="Line 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2" name="Line 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3" name="Line 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4" name="Line 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" name="Line 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" name="Line 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" name="Line 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" name="Line 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9" name="Line 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10" name="Line 11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1" name="Line 11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12" name="Line 11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3" name="Line 11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4" name="Line 11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6" name="Line 11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17" name="Line 11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8" name="Line 11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19" name="Line 11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0" name="Line 12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2" name="Line 122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3" name="Line 123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4" name="Line 124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7" name="Line 127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8" name="Line 128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8" name="Line 168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9" name="Line 169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72" name="Line 172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73" name="Line 173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78" name="Line 178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8" name="Line 28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289" name="Line 28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0" name="Line 29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291" name="Line 29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292" name="Line 29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5" name="Line 29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296" name="Line 29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7" name="Line 29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298" name="Line 29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0" name="Line 300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301" name="Line 301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4" name="Line 304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305" name="Line 305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45" name="Line 345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346" name="Line 346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349" name="Line 349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350" name="Line 350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355" name="Line 355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464" name="Line 464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465" name="Line 465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466" name="Line 466"/>
        <xdr:cNvSpPr>
          <a:spLocks/>
        </xdr:cNvSpPr>
      </xdr:nvSpPr>
      <xdr:spPr>
        <a:xfrm>
          <a:off x="723900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467" name="Line 467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8" name="Line 46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469" name="Line 46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0" name="Line 47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471" name="Line 47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472" name="Line 472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3" name="Line 47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474" name="Line 47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5" name="Line 47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476" name="Line 47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7" name="Line 47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478" name="Line 47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479" name="Line 479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0" name="Line 480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481" name="Line 481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4" name="Line 484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485" name="Line 485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486" name="Line 486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525" name="Line 525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26" name="Line 526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527" name="Line 527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530" name="Line 530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531" name="Line 531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536" name="Line 536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645" name="Line 645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646" name="Line 646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647" name="Line 647"/>
        <xdr:cNvSpPr>
          <a:spLocks/>
        </xdr:cNvSpPr>
      </xdr:nvSpPr>
      <xdr:spPr>
        <a:xfrm>
          <a:off x="723900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49" name="Line 649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650" name="Line 650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1" name="Line 651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652" name="Line 652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653" name="Line 653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4" name="Line 654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655" name="Line 655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6" name="Line 656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657" name="Line 657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8" name="Line 658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659" name="Line 659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660" name="Line 660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662" name="Line 662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5" name="Line 665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666" name="Line 666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667" name="Line 667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706" name="Line 706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07" name="Line 707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708" name="Line 708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711" name="Line 711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712" name="Line 712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717" name="Line 717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826" name="Line 826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7" name="Line 827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828" name="Line 828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29" name="Line 829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830" name="Line 830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831" name="Line 831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2" name="Line 832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833" name="Line 833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4" name="Line 834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835" name="Line 835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6" name="Line 836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837" name="Line 837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838" name="Line 838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39" name="Line 839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840" name="Line 840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3" name="Line 843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844" name="Line 844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845" name="Line 845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4" name="Line 884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885" name="Line 885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888" name="Line 888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889" name="Line 889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4" name="Line 894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5" name="Line 895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8" name="Line 898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899" name="Line 899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2" name="Line 902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3" name="Line 903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6" name="Line 906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07" name="Line 907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10" name="Line 910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152400</xdr:rowOff>
    </xdr:from>
    <xdr:to>
      <xdr:col>4</xdr:col>
      <xdr:colOff>0</xdr:colOff>
      <xdr:row>114</xdr:row>
      <xdr:rowOff>152400</xdr:rowOff>
    </xdr:to>
    <xdr:sp>
      <xdr:nvSpPr>
        <xdr:cNvPr id="911" name="Line 911"/>
        <xdr:cNvSpPr>
          <a:spLocks/>
        </xdr:cNvSpPr>
      </xdr:nvSpPr>
      <xdr:spPr>
        <a:xfrm>
          <a:off x="3886200" y="2707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919" name="Line 91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943" name="Line 943"/>
        <xdr:cNvSpPr>
          <a:spLocks/>
        </xdr:cNvSpPr>
      </xdr:nvSpPr>
      <xdr:spPr>
        <a:xfrm>
          <a:off x="3886200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4" name="Line 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5" name="Line 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6" name="Line 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27" name="Line 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028" name="Line 4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29" name="Line 5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030" name="Line 6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1" name="Line 7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032" name="Line 8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033" name="Line 9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4" name="Line 10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035" name="Line 11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6" name="Line 12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037" name="Line 13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8" name="Line 14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039" name="Line 15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040" name="Line 16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1" name="Line 17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042" name="Line 18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5" name="Line 21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046" name="Line 22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047" name="Line 23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86" name="Line 62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087" name="Line 63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090" name="Line 66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091" name="Line 67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096" name="Line 72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120" name="Line 96"/>
        <xdr:cNvSpPr>
          <a:spLocks/>
        </xdr:cNvSpPr>
      </xdr:nvSpPr>
      <xdr:spPr>
        <a:xfrm>
          <a:off x="3886200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205" name="Line 18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6" name="Line 18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207" name="Line 18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8" name="Line 18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209" name="Line 18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210" name="Line 18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1" name="Line 18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212" name="Line 18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3" name="Line 18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214" name="Line 19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5" name="Line 19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216" name="Line 19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217" name="Line 193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8" name="Line 194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219" name="Line 195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2" name="Line 198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223" name="Line 199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224" name="Line 200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3" name="Line 239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264" name="Line 240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267" name="Line 243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268" name="Line 244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273" name="Line 249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297" name="Line 273"/>
        <xdr:cNvSpPr>
          <a:spLocks/>
        </xdr:cNvSpPr>
      </xdr:nvSpPr>
      <xdr:spPr>
        <a:xfrm>
          <a:off x="3886200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382" name="Line 358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383" name="Line 359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1384" name="Line 360"/>
        <xdr:cNvSpPr>
          <a:spLocks/>
        </xdr:cNvSpPr>
      </xdr:nvSpPr>
      <xdr:spPr>
        <a:xfrm>
          <a:off x="723900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385" name="Line 361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6" name="Line 36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387" name="Line 36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8" name="Line 36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389" name="Line 36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390" name="Line 366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1" name="Line 36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392" name="Line 36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3" name="Line 36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394" name="Line 37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5" name="Line 37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396" name="Line 37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397" name="Line 373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8" name="Line 374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399" name="Line 375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2" name="Line 378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403" name="Line 379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404" name="Line 380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443" name="Line 419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4" name="Line 420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445" name="Line 421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448" name="Line 424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449" name="Line 425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454" name="Line 430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478" name="Line 454"/>
        <xdr:cNvSpPr>
          <a:spLocks/>
        </xdr:cNvSpPr>
      </xdr:nvSpPr>
      <xdr:spPr>
        <a:xfrm>
          <a:off x="3886200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457200</xdr:colOff>
      <xdr:row>145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723900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566" name="Line 542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7" name="Line 543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568" name="Line 544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69" name="Line 545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570" name="Line 546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571" name="Line 547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2" name="Line 548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573" name="Line 549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4" name="Line 550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575" name="Line 551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6" name="Line 552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577" name="Line 553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578" name="Line 554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79" name="Line 555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580" name="Line 556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3" name="Line 559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584" name="Line 560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585" name="Line 561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733425" y="33575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25" name="Line 601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626" name="Line 602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629" name="Line 605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630" name="Line 606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123825</xdr:rowOff>
    </xdr:from>
    <xdr:to>
      <xdr:col>4</xdr:col>
      <xdr:colOff>0</xdr:colOff>
      <xdr:row>10</xdr:row>
      <xdr:rowOff>123825</xdr:rowOff>
    </xdr:to>
    <xdr:sp>
      <xdr:nvSpPr>
        <xdr:cNvPr id="1635" name="Line 611"/>
        <xdr:cNvSpPr>
          <a:spLocks/>
        </xdr:cNvSpPr>
      </xdr:nvSpPr>
      <xdr:spPr>
        <a:xfrm>
          <a:off x="3886200" y="215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142875</xdr:rowOff>
    </xdr:from>
    <xdr:to>
      <xdr:col>4</xdr:col>
      <xdr:colOff>0</xdr:colOff>
      <xdr:row>114</xdr:row>
      <xdr:rowOff>142875</xdr:rowOff>
    </xdr:to>
    <xdr:sp>
      <xdr:nvSpPr>
        <xdr:cNvPr id="1659" name="Line 635"/>
        <xdr:cNvSpPr>
          <a:spLocks/>
        </xdr:cNvSpPr>
      </xdr:nvSpPr>
      <xdr:spPr>
        <a:xfrm>
          <a:off x="3886200" y="2706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86200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86200" y="2859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161925</xdr:rowOff>
    </xdr:from>
    <xdr:to>
      <xdr:col>4</xdr:col>
      <xdr:colOff>0</xdr:colOff>
      <xdr:row>16</xdr:row>
      <xdr:rowOff>161925</xdr:rowOff>
    </xdr:to>
    <xdr:sp>
      <xdr:nvSpPr>
        <xdr:cNvPr id="1744" name="Line 720"/>
        <xdr:cNvSpPr>
          <a:spLocks/>
        </xdr:cNvSpPr>
      </xdr:nvSpPr>
      <xdr:spPr>
        <a:xfrm>
          <a:off x="3886200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5" name="Line 721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266700</xdr:rowOff>
    </xdr:from>
    <xdr:to>
      <xdr:col>4</xdr:col>
      <xdr:colOff>0</xdr:colOff>
      <xdr:row>17</xdr:row>
      <xdr:rowOff>266700</xdr:rowOff>
    </xdr:to>
    <xdr:sp>
      <xdr:nvSpPr>
        <xdr:cNvPr id="1746" name="Line 722"/>
        <xdr:cNvSpPr>
          <a:spLocks/>
        </xdr:cNvSpPr>
      </xdr:nvSpPr>
      <xdr:spPr>
        <a:xfrm>
          <a:off x="3886200" y="425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7" name="Line 723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748" name="Line 724"/>
        <xdr:cNvSpPr>
          <a:spLocks/>
        </xdr:cNvSpPr>
      </xdr:nvSpPr>
      <xdr:spPr>
        <a:xfrm>
          <a:off x="388620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0</xdr:colOff>
      <xdr:row>32</xdr:row>
      <xdr:rowOff>190500</xdr:rowOff>
    </xdr:to>
    <xdr:sp>
      <xdr:nvSpPr>
        <xdr:cNvPr id="1749" name="Line 725"/>
        <xdr:cNvSpPr>
          <a:spLocks/>
        </xdr:cNvSpPr>
      </xdr:nvSpPr>
      <xdr:spPr>
        <a:xfrm>
          <a:off x="3886200" y="745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0" name="Line 726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228600</xdr:rowOff>
    </xdr:from>
    <xdr:to>
      <xdr:col>4</xdr:col>
      <xdr:colOff>0</xdr:colOff>
      <xdr:row>33</xdr:row>
      <xdr:rowOff>228600</xdr:rowOff>
    </xdr:to>
    <xdr:sp>
      <xdr:nvSpPr>
        <xdr:cNvPr id="1751" name="Line 727"/>
        <xdr:cNvSpPr>
          <a:spLocks/>
        </xdr:cNvSpPr>
      </xdr:nvSpPr>
      <xdr:spPr>
        <a:xfrm>
          <a:off x="3886200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2" name="Line 728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753" name="Line 729"/>
        <xdr:cNvSpPr>
          <a:spLocks/>
        </xdr:cNvSpPr>
      </xdr:nvSpPr>
      <xdr:spPr>
        <a:xfrm>
          <a:off x="38862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4" name="Line 730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333375</xdr:rowOff>
    </xdr:from>
    <xdr:to>
      <xdr:col>4</xdr:col>
      <xdr:colOff>0</xdr:colOff>
      <xdr:row>40</xdr:row>
      <xdr:rowOff>333375</xdr:rowOff>
    </xdr:to>
    <xdr:sp>
      <xdr:nvSpPr>
        <xdr:cNvPr id="1755" name="Line 731"/>
        <xdr:cNvSpPr>
          <a:spLocks/>
        </xdr:cNvSpPr>
      </xdr:nvSpPr>
      <xdr:spPr>
        <a:xfrm>
          <a:off x="3886200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161925</xdr:rowOff>
    </xdr:from>
    <xdr:to>
      <xdr:col>4</xdr:col>
      <xdr:colOff>0</xdr:colOff>
      <xdr:row>55</xdr:row>
      <xdr:rowOff>161925</xdr:rowOff>
    </xdr:to>
    <xdr:sp>
      <xdr:nvSpPr>
        <xdr:cNvPr id="1756" name="Line 732"/>
        <xdr:cNvSpPr>
          <a:spLocks/>
        </xdr:cNvSpPr>
      </xdr:nvSpPr>
      <xdr:spPr>
        <a:xfrm>
          <a:off x="3886200" y="134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7" name="Line 733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161925</xdr:rowOff>
    </xdr:from>
    <xdr:to>
      <xdr:col>4</xdr:col>
      <xdr:colOff>0</xdr:colOff>
      <xdr:row>56</xdr:row>
      <xdr:rowOff>161925</xdr:rowOff>
    </xdr:to>
    <xdr:sp>
      <xdr:nvSpPr>
        <xdr:cNvPr id="1758" name="Line 734"/>
        <xdr:cNvSpPr>
          <a:spLocks/>
        </xdr:cNvSpPr>
      </xdr:nvSpPr>
      <xdr:spPr>
        <a:xfrm>
          <a:off x="3886200" y="1358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86200" y="1414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1" name="Line 737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333375</xdr:rowOff>
    </xdr:from>
    <xdr:to>
      <xdr:col>4</xdr:col>
      <xdr:colOff>0</xdr:colOff>
      <xdr:row>61</xdr:row>
      <xdr:rowOff>333375</xdr:rowOff>
    </xdr:to>
    <xdr:sp>
      <xdr:nvSpPr>
        <xdr:cNvPr id="1762" name="Line 738"/>
        <xdr:cNvSpPr>
          <a:spLocks/>
        </xdr:cNvSpPr>
      </xdr:nvSpPr>
      <xdr:spPr>
        <a:xfrm>
          <a:off x="388620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228600</xdr:rowOff>
    </xdr:from>
    <xdr:to>
      <xdr:col>4</xdr:col>
      <xdr:colOff>0</xdr:colOff>
      <xdr:row>72</xdr:row>
      <xdr:rowOff>228600</xdr:rowOff>
    </xdr:to>
    <xdr:sp>
      <xdr:nvSpPr>
        <xdr:cNvPr id="1763" name="Line 739"/>
        <xdr:cNvSpPr>
          <a:spLocks/>
        </xdr:cNvSpPr>
      </xdr:nvSpPr>
      <xdr:spPr>
        <a:xfrm>
          <a:off x="38862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862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86200" y="1807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86200" y="1866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2" name="Line 778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118</xdr:row>
      <xdr:rowOff>152400</xdr:rowOff>
    </xdr:from>
    <xdr:to>
      <xdr:col>4</xdr:col>
      <xdr:colOff>0</xdr:colOff>
      <xdr:row>118</xdr:row>
      <xdr:rowOff>152400</xdr:rowOff>
    </xdr:to>
    <xdr:sp>
      <xdr:nvSpPr>
        <xdr:cNvPr id="1803" name="Line 779"/>
        <xdr:cNvSpPr>
          <a:spLocks/>
        </xdr:cNvSpPr>
      </xdr:nvSpPr>
      <xdr:spPr>
        <a:xfrm>
          <a:off x="3886200" y="2727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119</xdr:row>
      <xdr:rowOff>0</xdr:rowOff>
    </xdr:from>
    <xdr:to>
      <xdr:col>4</xdr:col>
      <xdr:colOff>0</xdr:colOff>
      <xdr:row>119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86200" y="2767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806" name="Line 782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152400</xdr:rowOff>
    </xdr:from>
    <xdr:to>
      <xdr:col>4</xdr:col>
      <xdr:colOff>0</xdr:colOff>
      <xdr:row>123</xdr:row>
      <xdr:rowOff>152400</xdr:rowOff>
    </xdr:to>
    <xdr:sp>
      <xdr:nvSpPr>
        <xdr:cNvPr id="1807" name="Line 783"/>
        <xdr:cNvSpPr>
          <a:spLocks/>
        </xdr:cNvSpPr>
      </xdr:nvSpPr>
      <xdr:spPr>
        <a:xfrm>
          <a:off x="3886200" y="2893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0</xdr:rowOff>
    </xdr:from>
    <xdr:to>
      <xdr:col>4</xdr:col>
      <xdr:colOff>0</xdr:colOff>
      <xdr:row>141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862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86200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0</xdr:rowOff>
    </xdr:from>
    <xdr:to>
      <xdr:col>4</xdr:col>
      <xdr:colOff>0</xdr:colOff>
      <xdr:row>115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7" name="Line 83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58" name="Line 83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1" name="Line 83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2" name="Line 83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5" name="Line 84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6" name="Line 84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69" name="Line 84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0" name="Line 84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3" name="Line 84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4" name="Line 85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7" name="Line 85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78" name="Line 85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1" name="Line 85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2" name="Line 85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5" name="Line 86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6" name="Line 86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89" name="Line 865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0" name="Line 866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3" name="Line 869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108</xdr:row>
      <xdr:rowOff>152400</xdr:rowOff>
    </xdr:from>
    <xdr:to>
      <xdr:col>4</xdr:col>
      <xdr:colOff>0</xdr:colOff>
      <xdr:row>108</xdr:row>
      <xdr:rowOff>152400</xdr:rowOff>
    </xdr:to>
    <xdr:sp>
      <xdr:nvSpPr>
        <xdr:cNvPr id="1894" name="Line 870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86200" y="2691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7" name="Line 87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898" name="Line 87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1" name="Line 87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2" name="Line 87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5" name="Line 88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6" name="Line 88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09" name="Line 88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0" name="Line 88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3" name="Line 88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4" name="Line 89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7" name="Line 89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18" name="Line 89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1" name="Line 89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2" name="Line 89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5" name="Line 90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6" name="Line 90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29" name="Line 905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0" name="Line 906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3" name="Line 909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152400</xdr:rowOff>
    </xdr:from>
    <xdr:to>
      <xdr:col>4</xdr:col>
      <xdr:colOff>0</xdr:colOff>
      <xdr:row>115</xdr:row>
      <xdr:rowOff>152400</xdr:rowOff>
    </xdr:to>
    <xdr:sp>
      <xdr:nvSpPr>
        <xdr:cNvPr id="1934" name="Line 910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116</xdr:row>
      <xdr:rowOff>0</xdr:rowOff>
    </xdr:from>
    <xdr:to>
      <xdr:col>4</xdr:col>
      <xdr:colOff>0</xdr:colOff>
      <xdr:row>116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86200" y="271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6383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638300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647825" y="32004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H82"/>
  <sheetViews>
    <sheetView workbookViewId="0" topLeftCell="A1">
      <selection activeCell="F20" sqref="F20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8" s="130" customFormat="1" ht="19.5" customHeight="1">
      <c r="A1" s="674" t="s">
        <v>351</v>
      </c>
      <c r="B1" s="674"/>
      <c r="C1" s="674"/>
      <c r="D1" s="674"/>
      <c r="E1" s="674"/>
      <c r="F1" s="674"/>
      <c r="H1" s="73"/>
    </row>
    <row r="2" spans="1:6" s="130" customFormat="1" ht="15" customHeight="1">
      <c r="A2" s="674"/>
      <c r="B2" s="674"/>
      <c r="C2" s="674"/>
      <c r="D2" s="674"/>
      <c r="E2" s="674"/>
      <c r="F2" s="674"/>
    </row>
    <row r="3" s="130" customFormat="1" ht="13.5" thickBot="1">
      <c r="F3" s="290" t="s">
        <v>158</v>
      </c>
    </row>
    <row r="4" spans="1:6" s="130" customFormat="1" ht="15.75" thickBot="1">
      <c r="A4" s="256" t="s">
        <v>110</v>
      </c>
      <c r="B4" s="256" t="s">
        <v>107</v>
      </c>
      <c r="C4" s="256" t="s">
        <v>123</v>
      </c>
      <c r="D4" s="257" t="s">
        <v>123</v>
      </c>
      <c r="E4" s="672" t="s">
        <v>108</v>
      </c>
      <c r="F4" s="673"/>
    </row>
    <row r="5" spans="1:6" s="130" customFormat="1" ht="30.75" thickBot="1">
      <c r="A5" s="258"/>
      <c r="B5" s="258"/>
      <c r="C5" s="259" t="s">
        <v>124</v>
      </c>
      <c r="D5" s="260" t="s">
        <v>65</v>
      </c>
      <c r="E5" s="254" t="s">
        <v>469</v>
      </c>
      <c r="F5" s="254" t="s">
        <v>324</v>
      </c>
    </row>
    <row r="6" spans="1:6" s="130" customFormat="1" ht="9" customHeight="1" thickBot="1">
      <c r="A6" s="255">
        <v>1</v>
      </c>
      <c r="B6" s="255">
        <v>2</v>
      </c>
      <c r="C6" s="255">
        <v>3</v>
      </c>
      <c r="D6" s="255"/>
      <c r="E6" s="255">
        <v>3</v>
      </c>
      <c r="F6" s="255">
        <v>4</v>
      </c>
    </row>
    <row r="7" spans="1:6" s="130" customFormat="1" ht="19.5" customHeight="1">
      <c r="A7" s="261" t="s">
        <v>111</v>
      </c>
      <c r="B7" s="262" t="s">
        <v>125</v>
      </c>
      <c r="C7" s="131"/>
      <c r="D7" s="131"/>
      <c r="E7" s="244">
        <v>59026343</v>
      </c>
      <c r="F7" s="244">
        <v>64381665</v>
      </c>
    </row>
    <row r="8" spans="1:6" s="130" customFormat="1" ht="19.5" customHeight="1">
      <c r="A8" s="263" t="s">
        <v>115</v>
      </c>
      <c r="B8" s="264" t="s">
        <v>126</v>
      </c>
      <c r="C8" s="132"/>
      <c r="D8" s="132"/>
      <c r="E8" s="245">
        <v>60636770</v>
      </c>
      <c r="F8" s="245">
        <v>68939886</v>
      </c>
    </row>
    <row r="9" spans="1:6" s="130" customFormat="1" ht="19.5" customHeight="1" hidden="1">
      <c r="A9" s="265"/>
      <c r="B9" s="266"/>
      <c r="C9" s="132"/>
      <c r="D9" s="132"/>
      <c r="E9" s="245"/>
      <c r="F9" s="245"/>
    </row>
    <row r="10" spans="1:6" s="130" customFormat="1" ht="19.5" customHeight="1">
      <c r="A10" s="263"/>
      <c r="B10" s="264" t="s">
        <v>148</v>
      </c>
      <c r="C10" s="132"/>
      <c r="D10" s="132"/>
      <c r="E10" s="245">
        <f>E7-E8</f>
        <v>-1610427</v>
      </c>
      <c r="F10" s="245">
        <f>F7-F8</f>
        <v>-4558221</v>
      </c>
    </row>
    <row r="11" spans="1:6" s="130" customFormat="1" ht="0.75" customHeight="1" thickBot="1">
      <c r="A11" s="267"/>
      <c r="B11" s="262"/>
      <c r="C11" s="131"/>
      <c r="D11" s="131"/>
      <c r="E11" s="244"/>
      <c r="F11" s="244"/>
    </row>
    <row r="12" spans="1:6" s="130" customFormat="1" ht="19.5" customHeight="1" thickBot="1">
      <c r="A12" s="268"/>
      <c r="B12" s="269" t="s">
        <v>156</v>
      </c>
      <c r="C12" s="133"/>
      <c r="D12" s="133"/>
      <c r="E12" s="246">
        <f>E13-E23</f>
        <v>1610427</v>
      </c>
      <c r="F12" s="246">
        <f>F13-F23</f>
        <v>4558221</v>
      </c>
    </row>
    <row r="13" spans="1:6" s="130" customFormat="1" ht="19.5" customHeight="1" thickBot="1">
      <c r="A13" s="270" t="s">
        <v>116</v>
      </c>
      <c r="B13" s="271" t="s">
        <v>134</v>
      </c>
      <c r="C13" s="134"/>
      <c r="D13" s="134"/>
      <c r="E13" s="307">
        <f>SUM(E14:E22)</f>
        <v>7552813</v>
      </c>
      <c r="F13" s="247">
        <f>SUM(F14:F22)</f>
        <v>8061821</v>
      </c>
    </row>
    <row r="14" spans="1:6" s="130" customFormat="1" ht="19.5" customHeight="1">
      <c r="A14" s="272" t="s">
        <v>112</v>
      </c>
      <c r="B14" s="273" t="s">
        <v>66</v>
      </c>
      <c r="C14" s="135" t="s">
        <v>144</v>
      </c>
      <c r="D14" s="285" t="s">
        <v>144</v>
      </c>
      <c r="E14" s="308">
        <v>6223600</v>
      </c>
      <c r="F14" s="248">
        <f>-F10+F23-F22</f>
        <v>5647035</v>
      </c>
    </row>
    <row r="15" spans="1:6" s="130" customFormat="1" ht="19.5" customHeight="1">
      <c r="A15" s="274" t="s">
        <v>113</v>
      </c>
      <c r="B15" s="275" t="s">
        <v>149</v>
      </c>
      <c r="C15" s="136" t="s">
        <v>144</v>
      </c>
      <c r="D15" s="286" t="s">
        <v>144</v>
      </c>
      <c r="E15" s="309">
        <v>0</v>
      </c>
      <c r="F15" s="249">
        <v>0</v>
      </c>
    </row>
    <row r="16" spans="1:6" s="130" customFormat="1" ht="45">
      <c r="A16" s="263" t="s">
        <v>114</v>
      </c>
      <c r="B16" s="276" t="s">
        <v>67</v>
      </c>
      <c r="C16" s="137"/>
      <c r="D16" s="287" t="s">
        <v>68</v>
      </c>
      <c r="E16" s="309">
        <v>0</v>
      </c>
      <c r="F16" s="249">
        <v>0</v>
      </c>
    </row>
    <row r="17" spans="1:6" s="130" customFormat="1" ht="19.5" customHeight="1">
      <c r="A17" s="263" t="s">
        <v>104</v>
      </c>
      <c r="B17" s="277" t="s">
        <v>135</v>
      </c>
      <c r="C17" s="137" t="s">
        <v>145</v>
      </c>
      <c r="D17" s="287" t="s">
        <v>69</v>
      </c>
      <c r="E17" s="309">
        <v>0</v>
      </c>
      <c r="F17" s="249">
        <v>0</v>
      </c>
    </row>
    <row r="18" spans="1:6" s="130" customFormat="1" ht="19.5" customHeight="1">
      <c r="A18" s="263" t="s">
        <v>118</v>
      </c>
      <c r="B18" s="277" t="s">
        <v>136</v>
      </c>
      <c r="C18" s="137" t="s">
        <v>146</v>
      </c>
      <c r="D18" s="287" t="s">
        <v>70</v>
      </c>
      <c r="E18" s="309">
        <v>0</v>
      </c>
      <c r="F18" s="249">
        <v>0</v>
      </c>
    </row>
    <row r="19" spans="1:6" s="130" customFormat="1" ht="21.75" customHeight="1">
      <c r="A19" s="263" t="s">
        <v>122</v>
      </c>
      <c r="B19" s="277" t="s">
        <v>127</v>
      </c>
      <c r="C19" s="137" t="s">
        <v>147</v>
      </c>
      <c r="D19" s="287" t="s">
        <v>147</v>
      </c>
      <c r="E19" s="309">
        <v>0</v>
      </c>
      <c r="F19" s="249">
        <v>0</v>
      </c>
    </row>
    <row r="20" spans="1:6" s="130" customFormat="1" ht="19.5" customHeight="1">
      <c r="A20" s="263" t="s">
        <v>130</v>
      </c>
      <c r="B20" s="277" t="s">
        <v>71</v>
      </c>
      <c r="C20" s="137"/>
      <c r="D20" s="287" t="s">
        <v>72</v>
      </c>
      <c r="E20" s="309">
        <v>0</v>
      </c>
      <c r="F20" s="249">
        <v>0</v>
      </c>
    </row>
    <row r="21" spans="1:6" s="130" customFormat="1" ht="19.5" customHeight="1">
      <c r="A21" s="278" t="s">
        <v>133</v>
      </c>
      <c r="B21" s="279" t="s">
        <v>73</v>
      </c>
      <c r="C21" s="135"/>
      <c r="D21" s="286" t="s">
        <v>74</v>
      </c>
      <c r="E21" s="309">
        <v>0</v>
      </c>
      <c r="F21" s="249">
        <v>0</v>
      </c>
    </row>
    <row r="22" spans="1:6" s="130" customFormat="1" ht="19.5" customHeight="1" thickBot="1">
      <c r="A22" s="278" t="s">
        <v>182</v>
      </c>
      <c r="B22" s="279" t="s">
        <v>75</v>
      </c>
      <c r="C22" s="138" t="s">
        <v>145</v>
      </c>
      <c r="D22" s="286" t="s">
        <v>145</v>
      </c>
      <c r="E22" s="250">
        <v>1329213</v>
      </c>
      <c r="F22" s="250">
        <v>2414786</v>
      </c>
    </row>
    <row r="23" spans="1:6" s="130" customFormat="1" ht="19.5" customHeight="1" thickBot="1">
      <c r="A23" s="270" t="s">
        <v>132</v>
      </c>
      <c r="B23" s="280" t="s">
        <v>137</v>
      </c>
      <c r="C23" s="139"/>
      <c r="D23" s="270"/>
      <c r="E23" s="307">
        <f>SUM(E24:E31)</f>
        <v>5942386</v>
      </c>
      <c r="F23" s="247">
        <f>SUM(F24:F31)</f>
        <v>3503600</v>
      </c>
    </row>
    <row r="24" spans="1:6" s="130" customFormat="1" ht="19.5" customHeight="1">
      <c r="A24" s="272" t="s">
        <v>112</v>
      </c>
      <c r="B24" s="281" t="s">
        <v>129</v>
      </c>
      <c r="C24" s="140" t="s">
        <v>139</v>
      </c>
      <c r="D24" s="288" t="s">
        <v>139</v>
      </c>
      <c r="E24" s="251">
        <v>2527600</v>
      </c>
      <c r="F24" s="251">
        <f>1781600-304000</f>
        <v>1477600</v>
      </c>
    </row>
    <row r="25" spans="1:6" s="130" customFormat="1" ht="19.5" customHeight="1">
      <c r="A25" s="263" t="s">
        <v>113</v>
      </c>
      <c r="B25" s="264" t="s">
        <v>143</v>
      </c>
      <c r="C25" s="141"/>
      <c r="D25" s="287" t="s">
        <v>139</v>
      </c>
      <c r="E25" s="252"/>
      <c r="F25" s="252"/>
    </row>
    <row r="26" spans="1:6" s="130" customFormat="1" ht="45">
      <c r="A26" s="263" t="s">
        <v>114</v>
      </c>
      <c r="B26" s="282" t="s">
        <v>76</v>
      </c>
      <c r="C26" s="141"/>
      <c r="D26" s="287" t="s">
        <v>77</v>
      </c>
      <c r="E26" s="252"/>
      <c r="F26" s="252"/>
    </row>
    <row r="27" spans="1:6" s="130" customFormat="1" ht="19.5" customHeight="1">
      <c r="A27" s="263" t="s">
        <v>104</v>
      </c>
      <c r="B27" s="264" t="s">
        <v>78</v>
      </c>
      <c r="C27" s="141" t="s">
        <v>161</v>
      </c>
      <c r="D27" s="287" t="s">
        <v>161</v>
      </c>
      <c r="E27" s="252">
        <v>0</v>
      </c>
      <c r="F27" s="252">
        <v>26000</v>
      </c>
    </row>
    <row r="28" spans="1:6" s="130" customFormat="1" ht="19.5" customHeight="1">
      <c r="A28" s="263" t="s">
        <v>118</v>
      </c>
      <c r="B28" s="264" t="s">
        <v>79</v>
      </c>
      <c r="C28" s="141" t="s">
        <v>141</v>
      </c>
      <c r="D28" s="287" t="s">
        <v>141</v>
      </c>
      <c r="E28" s="252">
        <v>2414786</v>
      </c>
      <c r="F28" s="252">
        <v>0</v>
      </c>
    </row>
    <row r="29" spans="1:6" s="130" customFormat="1" ht="17.25" customHeight="1">
      <c r="A29" s="263" t="s">
        <v>122</v>
      </c>
      <c r="B29" s="264" t="s">
        <v>128</v>
      </c>
      <c r="C29" s="141" t="s">
        <v>142</v>
      </c>
      <c r="D29" s="287" t="s">
        <v>142</v>
      </c>
      <c r="E29" s="252">
        <v>1000000</v>
      </c>
      <c r="F29" s="252">
        <v>2000000</v>
      </c>
    </row>
    <row r="30" spans="1:6" s="130" customFormat="1" ht="17.25" customHeight="1">
      <c r="A30" s="263" t="s">
        <v>130</v>
      </c>
      <c r="B30" s="264" t="s">
        <v>99</v>
      </c>
      <c r="C30" s="141"/>
      <c r="D30" s="287" t="s">
        <v>80</v>
      </c>
      <c r="E30" s="252"/>
      <c r="F30" s="252"/>
    </row>
    <row r="31" spans="1:6" s="130" customFormat="1" ht="17.25" customHeight="1" thickBot="1">
      <c r="A31" s="283" t="s">
        <v>133</v>
      </c>
      <c r="B31" s="284" t="s">
        <v>138</v>
      </c>
      <c r="C31" s="141" t="s">
        <v>140</v>
      </c>
      <c r="D31" s="289" t="s">
        <v>140</v>
      </c>
      <c r="E31" s="253">
        <v>0</v>
      </c>
      <c r="F31" s="253">
        <v>0</v>
      </c>
    </row>
    <row r="32" spans="1:6" ht="19.5" customHeight="1">
      <c r="A32" s="4"/>
      <c r="B32" s="5"/>
      <c r="C32" s="5"/>
      <c r="D32" s="5"/>
      <c r="E32" s="33"/>
      <c r="F32" s="33"/>
    </row>
    <row r="33" spans="1:6" ht="30" hidden="1">
      <c r="A33" s="12" t="s">
        <v>150</v>
      </c>
      <c r="B33" s="15" t="s">
        <v>162</v>
      </c>
      <c r="C33" s="13"/>
      <c r="D33" s="13"/>
      <c r="E33" s="36">
        <f>E23</f>
        <v>5942386</v>
      </c>
      <c r="F33" s="39">
        <f>F23</f>
        <v>3503600</v>
      </c>
    </row>
    <row r="34" spans="1:6" ht="30" hidden="1">
      <c r="A34" s="6" t="s">
        <v>151</v>
      </c>
      <c r="B34" s="14" t="s">
        <v>157</v>
      </c>
      <c r="C34" s="9"/>
      <c r="D34" s="9"/>
      <c r="E34" s="37">
        <f>E7-E33</f>
        <v>53083957</v>
      </c>
      <c r="F34" s="40">
        <f>F7-F33</f>
        <v>60878065</v>
      </c>
    </row>
    <row r="35" spans="1:6" ht="30" hidden="1">
      <c r="A35" s="6" t="s">
        <v>152</v>
      </c>
      <c r="B35" s="14" t="s">
        <v>153</v>
      </c>
      <c r="C35" s="9"/>
      <c r="D35" s="9"/>
      <c r="E35" s="37">
        <f>E8-E34</f>
        <v>7552813</v>
      </c>
      <c r="F35" s="40">
        <f>F8-F34</f>
        <v>8061821</v>
      </c>
    </row>
    <row r="36" spans="1:6" ht="45.75" hidden="1" thickBot="1">
      <c r="A36" s="7" t="s">
        <v>154</v>
      </c>
      <c r="B36" s="10" t="s">
        <v>155</v>
      </c>
      <c r="C36" s="11"/>
      <c r="D36" s="11"/>
      <c r="E36" s="38">
        <f>SUM(E13)</f>
        <v>7552813</v>
      </c>
      <c r="F36" s="41">
        <f>SUM(F13)</f>
        <v>8061821</v>
      </c>
    </row>
    <row r="37" spans="1:6" ht="12.75">
      <c r="A37" s="3"/>
      <c r="E37" s="34"/>
      <c r="F37" s="34"/>
    </row>
    <row r="38" spans="1:6" ht="12.75">
      <c r="A38" s="3"/>
      <c r="E38" s="34"/>
      <c r="F38" s="34"/>
    </row>
    <row r="39" spans="5:6" s="8" customFormat="1" ht="15">
      <c r="E39" s="35"/>
      <c r="F39" s="35"/>
    </row>
    <row r="40" spans="1:6" ht="12.75">
      <c r="A40" s="3"/>
      <c r="E40" s="34"/>
      <c r="F40" s="34"/>
    </row>
    <row r="41" spans="1:6" ht="12.75">
      <c r="A41" s="3"/>
      <c r="E41" s="34"/>
      <c r="F41" s="34"/>
    </row>
    <row r="42" spans="1:6" ht="12.75">
      <c r="A42" s="3"/>
      <c r="E42" s="34"/>
      <c r="F42" s="34"/>
    </row>
    <row r="43" spans="1:6" ht="12.75">
      <c r="A43" s="3"/>
      <c r="E43" s="34"/>
      <c r="F43" s="34"/>
    </row>
    <row r="44" spans="1:6" ht="12.75">
      <c r="A44" s="3"/>
      <c r="E44" s="34"/>
      <c r="F44" s="34"/>
    </row>
    <row r="45" spans="1:6" ht="12.75">
      <c r="A45" s="3"/>
      <c r="E45" s="34"/>
      <c r="F45" s="34"/>
    </row>
    <row r="46" spans="1:6" ht="12.75">
      <c r="A46" s="3"/>
      <c r="E46" s="34"/>
      <c r="F46" s="34"/>
    </row>
    <row r="47" spans="1:6" ht="12.75">
      <c r="A47" s="3"/>
      <c r="E47" s="34"/>
      <c r="F47" s="34"/>
    </row>
    <row r="48" spans="5:6" ht="12.75">
      <c r="E48" s="34"/>
      <c r="F48" s="34"/>
    </row>
    <row r="49" spans="5:6" ht="12.75">
      <c r="E49" s="34"/>
      <c r="F49" s="34"/>
    </row>
    <row r="50" spans="5:6" ht="12.75">
      <c r="E50" s="34"/>
      <c r="F50" s="34"/>
    </row>
    <row r="51" spans="5:6" ht="12.75">
      <c r="E51" s="34"/>
      <c r="F51" s="34"/>
    </row>
    <row r="52" spans="5:6" ht="12.75">
      <c r="E52" s="34"/>
      <c r="F52" s="34"/>
    </row>
    <row r="53" spans="5:6" ht="12.75">
      <c r="E53" s="34"/>
      <c r="F53" s="34"/>
    </row>
    <row r="54" spans="5:6" ht="12.75">
      <c r="E54" s="34"/>
      <c r="F54" s="34"/>
    </row>
    <row r="55" spans="5:6" ht="12.75">
      <c r="E55" s="34"/>
      <c r="F55" s="34"/>
    </row>
    <row r="56" spans="5:6" ht="12.75">
      <c r="E56" s="34"/>
      <c r="F56" s="34"/>
    </row>
    <row r="57" spans="5:6" ht="12.75">
      <c r="E57" s="34"/>
      <c r="F57" s="34"/>
    </row>
    <row r="58" spans="5:6" ht="12.75">
      <c r="E58" s="34"/>
      <c r="F58" s="34"/>
    </row>
    <row r="59" spans="5:6" ht="12.75">
      <c r="E59" s="34"/>
      <c r="F59" s="34"/>
    </row>
    <row r="60" spans="5:6" ht="12.75">
      <c r="E60" s="34"/>
      <c r="F60" s="34"/>
    </row>
    <row r="61" spans="5:6" ht="12.75">
      <c r="E61" s="34"/>
      <c r="F61" s="34"/>
    </row>
    <row r="62" spans="5:6" ht="12.75">
      <c r="E62" s="34"/>
      <c r="F62" s="34"/>
    </row>
    <row r="63" spans="5:6" ht="12.75">
      <c r="E63" s="34"/>
      <c r="F63" s="34"/>
    </row>
    <row r="64" spans="5:6" ht="12.75">
      <c r="E64" s="34"/>
      <c r="F64" s="34"/>
    </row>
    <row r="65" spans="5:6" ht="12.75">
      <c r="E65" s="34"/>
      <c r="F65" s="34"/>
    </row>
    <row r="66" spans="5:6" ht="12.75">
      <c r="E66" s="34"/>
      <c r="F66" s="34"/>
    </row>
    <row r="67" spans="5:6" ht="12.75">
      <c r="E67" s="34"/>
      <c r="F67" s="34"/>
    </row>
    <row r="68" spans="5:6" ht="12.75">
      <c r="E68" s="34"/>
      <c r="F68" s="34"/>
    </row>
    <row r="69" spans="5:6" ht="12.75">
      <c r="E69" s="34"/>
      <c r="F69" s="34"/>
    </row>
    <row r="70" spans="5:6" ht="12.75">
      <c r="E70" s="34"/>
      <c r="F70" s="34"/>
    </row>
    <row r="71" spans="5:6" ht="12.75">
      <c r="E71" s="34"/>
      <c r="F71" s="34"/>
    </row>
    <row r="72" spans="5:6" ht="12.75">
      <c r="E72" s="34"/>
      <c r="F72" s="34"/>
    </row>
    <row r="73" spans="5:6" ht="12.75">
      <c r="E73" s="34"/>
      <c r="F73" s="34"/>
    </row>
    <row r="74" spans="5:6" ht="12.75">
      <c r="E74" s="34"/>
      <c r="F74" s="34"/>
    </row>
    <row r="75" spans="5:6" ht="12.75">
      <c r="E75" s="34"/>
      <c r="F75" s="34"/>
    </row>
    <row r="76" spans="5:6" ht="12.75">
      <c r="E76" s="34"/>
      <c r="F76" s="34"/>
    </row>
    <row r="77" spans="5:6" ht="12.75">
      <c r="E77" s="34"/>
      <c r="F77" s="34"/>
    </row>
    <row r="78" spans="5:6" ht="12.75">
      <c r="E78" s="34"/>
      <c r="F78" s="34"/>
    </row>
    <row r="79" spans="5:6" ht="12.75">
      <c r="E79" s="34"/>
      <c r="F79" s="34"/>
    </row>
    <row r="80" spans="5:6" ht="12.75">
      <c r="E80" s="34"/>
      <c r="F80" s="34"/>
    </row>
    <row r="81" spans="5:6" ht="12.75">
      <c r="E81" s="34"/>
      <c r="F81" s="34"/>
    </row>
    <row r="82" spans="5:6" ht="12.75">
      <c r="E82" s="34"/>
      <c r="F82" s="34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Zarządu Powiatu Nr      XIX/141/08
z dnia  30 czerwca 2008 roku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C1">
      <selection activeCell="F7" sqref="F7"/>
    </sheetView>
  </sheetViews>
  <sheetFormatPr defaultColWidth="9.00390625" defaultRowHeight="12.75"/>
  <cols>
    <col min="1" max="1" width="3.875" style="0" customWidth="1"/>
    <col min="2" max="2" width="26.00390625" style="0" customWidth="1"/>
    <col min="3" max="3" width="14.00390625" style="0" customWidth="1"/>
    <col min="4" max="4" width="11.25390625" style="0" customWidth="1"/>
    <col min="5" max="5" width="11.125" style="0" customWidth="1"/>
    <col min="6" max="7" width="10.875" style="0" customWidth="1"/>
    <col min="8" max="8" width="10.125" style="0" customWidth="1"/>
    <col min="9" max="9" width="10.00390625" style="0" customWidth="1"/>
    <col min="10" max="11" width="9.875" style="0" customWidth="1"/>
    <col min="12" max="12" width="10.00390625" style="0" customWidth="1"/>
    <col min="13" max="13" width="9.875" style="0" customWidth="1"/>
  </cols>
  <sheetData>
    <row r="1" spans="2:13" s="60" customFormat="1" ht="15.75">
      <c r="B1" s="61"/>
      <c r="C1" s="62"/>
      <c r="D1" s="63"/>
      <c r="E1" s="72"/>
      <c r="F1" s="72"/>
      <c r="G1" s="44" t="s">
        <v>505</v>
      </c>
      <c r="I1" s="63"/>
      <c r="J1" s="72"/>
      <c r="K1" s="72"/>
      <c r="L1" s="72"/>
      <c r="M1" s="44" t="s">
        <v>505</v>
      </c>
    </row>
    <row r="2" spans="2:13" s="60" customFormat="1" ht="15">
      <c r="B2" s="64"/>
      <c r="C2" s="65"/>
      <c r="D2" s="66"/>
      <c r="E2" s="73"/>
      <c r="F2" s="73"/>
      <c r="G2" s="44" t="s">
        <v>506</v>
      </c>
      <c r="I2" s="66"/>
      <c r="J2" s="50"/>
      <c r="K2" s="50"/>
      <c r="L2" s="50"/>
      <c r="M2" s="44" t="s">
        <v>506</v>
      </c>
    </row>
    <row r="3" spans="2:13" s="60" customFormat="1" ht="15">
      <c r="B3" s="64"/>
      <c r="C3" s="67"/>
      <c r="D3" s="66"/>
      <c r="E3" s="73"/>
      <c r="F3" s="73"/>
      <c r="G3" s="44" t="s">
        <v>504</v>
      </c>
      <c r="I3" s="66"/>
      <c r="J3" s="50"/>
      <c r="K3" s="50"/>
      <c r="L3" s="50"/>
      <c r="M3" s="44" t="s">
        <v>504</v>
      </c>
    </row>
    <row r="4" s="68" customFormat="1" ht="12.75">
      <c r="D4" s="67"/>
    </row>
    <row r="5" ht="12.75">
      <c r="D5" s="69"/>
    </row>
    <row r="6" ht="12.75">
      <c r="D6" s="69"/>
    </row>
    <row r="8" spans="2:6" ht="18">
      <c r="B8" s="2"/>
      <c r="C8" s="2"/>
      <c r="D8" s="2"/>
      <c r="E8" s="2"/>
      <c r="F8" s="2"/>
    </row>
    <row r="9" spans="1:3" ht="18">
      <c r="A9" s="16"/>
      <c r="B9" s="16"/>
      <c r="C9" s="16"/>
    </row>
    <row r="10" spans="4:12" s="1" customFormat="1" ht="15.75">
      <c r="D10" s="53"/>
      <c r="E10" s="53"/>
      <c r="F10" s="59"/>
      <c r="G10" s="1" t="s">
        <v>160</v>
      </c>
      <c r="L10" s="1" t="s">
        <v>160</v>
      </c>
    </row>
    <row r="11" spans="1:13" s="151" customFormat="1" ht="35.25" customHeight="1">
      <c r="A11" s="707" t="s">
        <v>163</v>
      </c>
      <c r="B11" s="707" t="s">
        <v>241</v>
      </c>
      <c r="C11" s="707" t="s">
        <v>471</v>
      </c>
      <c r="D11" s="609" t="s">
        <v>242</v>
      </c>
      <c r="E11" s="740"/>
      <c r="F11" s="740"/>
      <c r="G11" s="741"/>
      <c r="H11" s="609" t="s">
        <v>242</v>
      </c>
      <c r="I11" s="740"/>
      <c r="J11" s="740"/>
      <c r="K11" s="740"/>
      <c r="L11" s="740"/>
      <c r="M11" s="741"/>
    </row>
    <row r="12" spans="1:13" s="151" customFormat="1" ht="35.25" customHeight="1">
      <c r="A12" s="707"/>
      <c r="B12" s="707"/>
      <c r="C12" s="707"/>
      <c r="D12" s="381">
        <v>2008</v>
      </c>
      <c r="E12" s="381">
        <v>2009</v>
      </c>
      <c r="F12" s="382">
        <v>2010</v>
      </c>
      <c r="G12" s="381">
        <v>2011</v>
      </c>
      <c r="H12" s="381">
        <v>2012</v>
      </c>
      <c r="I12" s="381">
        <v>2013</v>
      </c>
      <c r="J12" s="381">
        <v>2014</v>
      </c>
      <c r="K12" s="381">
        <v>2015</v>
      </c>
      <c r="L12" s="381">
        <v>2016</v>
      </c>
      <c r="M12" s="458">
        <v>2017</v>
      </c>
    </row>
    <row r="13" spans="1:13" s="151" customFormat="1" ht="11.25" customHeight="1">
      <c r="A13" s="163">
        <v>1</v>
      </c>
      <c r="B13" s="163">
        <v>2</v>
      </c>
      <c r="C13" s="163">
        <v>3</v>
      </c>
      <c r="D13" s="163">
        <v>4</v>
      </c>
      <c r="E13" s="163">
        <v>5</v>
      </c>
      <c r="F13" s="163">
        <v>6</v>
      </c>
      <c r="G13" s="383">
        <v>7</v>
      </c>
      <c r="H13" s="163">
        <v>3</v>
      </c>
      <c r="I13" s="163">
        <v>4</v>
      </c>
      <c r="J13" s="163">
        <v>5</v>
      </c>
      <c r="K13" s="163">
        <v>6</v>
      </c>
      <c r="L13" s="163">
        <v>7</v>
      </c>
      <c r="M13" s="459">
        <v>8</v>
      </c>
    </row>
    <row r="14" spans="1:13" s="129" customFormat="1" ht="28.5" customHeight="1">
      <c r="A14" s="384" t="s">
        <v>112</v>
      </c>
      <c r="B14" s="31" t="s">
        <v>117</v>
      </c>
      <c r="C14" s="389">
        <f>SUM('zał12-syt finans'!C46)</f>
        <v>2000000</v>
      </c>
      <c r="D14" s="389">
        <f>SUM('zał12-syt finans'!D46)</f>
        <v>0</v>
      </c>
      <c r="E14" s="389">
        <f>SUM('zał12-syt finans'!E46)</f>
        <v>0</v>
      </c>
      <c r="F14" s="389">
        <f>SUM('zał12-syt finans'!F46)</f>
        <v>0</v>
      </c>
      <c r="G14" s="389">
        <f>SUM('zał12-syt finans'!G46)</f>
        <v>0</v>
      </c>
      <c r="H14" s="389">
        <f>SUM('zał12-syt finans'!H46)</f>
        <v>0</v>
      </c>
      <c r="I14" s="389">
        <f>SUM('zał12-syt finans'!I46)</f>
        <v>0</v>
      </c>
      <c r="J14" s="389">
        <f>SUM('zał12-syt finans'!J46)</f>
        <v>0</v>
      </c>
      <c r="K14" s="389">
        <f>SUM('zał12-syt finans'!K46)</f>
        <v>0</v>
      </c>
      <c r="L14" s="389">
        <f>SUM('zał12-syt finans'!L46)</f>
        <v>0</v>
      </c>
      <c r="M14" s="460">
        <f>SUM('zał12-syt finans'!M46)</f>
        <v>0</v>
      </c>
    </row>
    <row r="15" spans="1:13" s="129" customFormat="1" ht="24.75" customHeight="1">
      <c r="A15" s="384" t="s">
        <v>113</v>
      </c>
      <c r="B15" s="31" t="s">
        <v>119</v>
      </c>
      <c r="C15" s="389">
        <f>SUM('zał12-syt finans'!C45)</f>
        <v>21429971</v>
      </c>
      <c r="D15" s="389">
        <f>SUM('zał12-syt finans'!D45)</f>
        <v>25599406</v>
      </c>
      <c r="E15" s="389">
        <f>SUM('zał12-syt finans'!E45)</f>
        <v>28748799</v>
      </c>
      <c r="F15" s="389">
        <f>SUM('zał12-syt finans'!F45)</f>
        <v>28778942</v>
      </c>
      <c r="G15" s="389">
        <f>SUM('zał12-syt finans'!G45)</f>
        <v>25325283</v>
      </c>
      <c r="H15" s="389">
        <f>SUM('zał12-syt finans'!H45)</f>
        <v>20717890</v>
      </c>
      <c r="I15" s="389">
        <f>SUM('zał12-syt finans'!I45)</f>
        <v>14821027</v>
      </c>
      <c r="J15" s="389">
        <f>SUM('zał12-syt finans'!J45)</f>
        <v>8812536</v>
      </c>
      <c r="K15" s="389">
        <f>SUM('zał12-syt finans'!K45)</f>
        <v>3812536</v>
      </c>
      <c r="L15" s="389">
        <f>SUM('zał12-syt finans'!L45)</f>
        <v>0</v>
      </c>
      <c r="M15" s="460">
        <f>SUM('zał12-syt finans'!M45)</f>
        <v>0</v>
      </c>
    </row>
    <row r="16" spans="1:13" s="129" customFormat="1" ht="24.75" customHeight="1">
      <c r="A16" s="384" t="s">
        <v>114</v>
      </c>
      <c r="B16" s="31" t="s">
        <v>120</v>
      </c>
      <c r="C16" s="390" t="s">
        <v>171</v>
      </c>
      <c r="D16" s="390" t="s">
        <v>171</v>
      </c>
      <c r="E16" s="390" t="s">
        <v>171</v>
      </c>
      <c r="F16" s="390" t="s">
        <v>171</v>
      </c>
      <c r="G16" s="394" t="s">
        <v>171</v>
      </c>
      <c r="H16" s="390" t="s">
        <v>171</v>
      </c>
      <c r="I16" s="390" t="s">
        <v>171</v>
      </c>
      <c r="J16" s="390" t="s">
        <v>171</v>
      </c>
      <c r="K16" s="390" t="s">
        <v>171</v>
      </c>
      <c r="L16" s="390" t="s">
        <v>171</v>
      </c>
      <c r="M16" s="461" t="s">
        <v>171</v>
      </c>
    </row>
    <row r="17" spans="1:13" s="129" customFormat="1" ht="24.75" customHeight="1">
      <c r="A17" s="385" t="s">
        <v>104</v>
      </c>
      <c r="B17" s="386" t="s">
        <v>121</v>
      </c>
      <c r="C17" s="390" t="s">
        <v>171</v>
      </c>
      <c r="D17" s="390" t="s">
        <v>171</v>
      </c>
      <c r="E17" s="390" t="s">
        <v>171</v>
      </c>
      <c r="F17" s="390" t="s">
        <v>171</v>
      </c>
      <c r="G17" s="394" t="s">
        <v>171</v>
      </c>
      <c r="H17" s="390" t="s">
        <v>171</v>
      </c>
      <c r="I17" s="390" t="s">
        <v>171</v>
      </c>
      <c r="J17" s="390" t="s">
        <v>171</v>
      </c>
      <c r="K17" s="390" t="s">
        <v>171</v>
      </c>
      <c r="L17" s="390" t="s">
        <v>171</v>
      </c>
      <c r="M17" s="461" t="s">
        <v>171</v>
      </c>
    </row>
    <row r="18" spans="1:13" s="129" customFormat="1" ht="42.75" customHeight="1">
      <c r="A18" s="385" t="s">
        <v>118</v>
      </c>
      <c r="B18" s="31" t="s">
        <v>243</v>
      </c>
      <c r="C18" s="390" t="s">
        <v>171</v>
      </c>
      <c r="D18" s="390" t="s">
        <v>171</v>
      </c>
      <c r="E18" s="390" t="s">
        <v>171</v>
      </c>
      <c r="F18" s="390" t="s">
        <v>171</v>
      </c>
      <c r="G18" s="394" t="s">
        <v>171</v>
      </c>
      <c r="H18" s="390" t="s">
        <v>171</v>
      </c>
      <c r="I18" s="390" t="s">
        <v>171</v>
      </c>
      <c r="J18" s="390" t="s">
        <v>171</v>
      </c>
      <c r="K18" s="390" t="s">
        <v>171</v>
      </c>
      <c r="L18" s="396" t="s">
        <v>171</v>
      </c>
      <c r="M18" s="462" t="s">
        <v>171</v>
      </c>
    </row>
    <row r="19" spans="1:13" s="129" customFormat="1" ht="24.75" customHeight="1">
      <c r="A19" s="387"/>
      <c r="B19" s="31" t="s">
        <v>244</v>
      </c>
      <c r="C19" s="390" t="s">
        <v>171</v>
      </c>
      <c r="D19" s="390" t="s">
        <v>171</v>
      </c>
      <c r="E19" s="390" t="s">
        <v>171</v>
      </c>
      <c r="F19" s="390" t="s">
        <v>171</v>
      </c>
      <c r="G19" s="390" t="s">
        <v>171</v>
      </c>
      <c r="H19" s="390" t="s">
        <v>171</v>
      </c>
      <c r="I19" s="390" t="s">
        <v>171</v>
      </c>
      <c r="J19" s="390" t="s">
        <v>171</v>
      </c>
      <c r="K19" s="390" t="s">
        <v>171</v>
      </c>
      <c r="L19" s="390" t="s">
        <v>171</v>
      </c>
      <c r="M19" s="461" t="s">
        <v>171</v>
      </c>
    </row>
    <row r="20" spans="1:13" s="129" customFormat="1" ht="24.75" customHeight="1">
      <c r="A20" s="387"/>
      <c r="B20" s="31" t="s">
        <v>245</v>
      </c>
      <c r="C20" s="390" t="s">
        <v>171</v>
      </c>
      <c r="D20" s="390" t="s">
        <v>171</v>
      </c>
      <c r="E20" s="390" t="s">
        <v>171</v>
      </c>
      <c r="F20" s="390" t="s">
        <v>171</v>
      </c>
      <c r="G20" s="390" t="s">
        <v>171</v>
      </c>
      <c r="H20" s="390" t="s">
        <v>171</v>
      </c>
      <c r="I20" s="390" t="s">
        <v>171</v>
      </c>
      <c r="J20" s="390" t="s">
        <v>171</v>
      </c>
      <c r="K20" s="390" t="s">
        <v>171</v>
      </c>
      <c r="L20" s="390" t="s">
        <v>171</v>
      </c>
      <c r="M20" s="461" t="s">
        <v>171</v>
      </c>
    </row>
    <row r="21" spans="1:13" s="129" customFormat="1" ht="24.75" customHeight="1">
      <c r="A21" s="387"/>
      <c r="B21" s="31" t="s">
        <v>246</v>
      </c>
      <c r="C21" s="390" t="s">
        <v>171</v>
      </c>
      <c r="D21" s="390" t="s">
        <v>171</v>
      </c>
      <c r="E21" s="390" t="s">
        <v>171</v>
      </c>
      <c r="F21" s="390" t="s">
        <v>171</v>
      </c>
      <c r="G21" s="390" t="s">
        <v>171</v>
      </c>
      <c r="H21" s="390" t="s">
        <v>171</v>
      </c>
      <c r="I21" s="390" t="s">
        <v>171</v>
      </c>
      <c r="J21" s="390" t="s">
        <v>171</v>
      </c>
      <c r="K21" s="390" t="s">
        <v>171</v>
      </c>
      <c r="L21" s="396" t="s">
        <v>171</v>
      </c>
      <c r="M21" s="462" t="s">
        <v>171</v>
      </c>
    </row>
    <row r="22" spans="1:13" s="129" customFormat="1" ht="24.75" customHeight="1">
      <c r="A22" s="388"/>
      <c r="B22" s="31" t="s">
        <v>247</v>
      </c>
      <c r="C22" s="390" t="s">
        <v>171</v>
      </c>
      <c r="D22" s="390" t="s">
        <v>171</v>
      </c>
      <c r="E22" s="390" t="s">
        <v>171</v>
      </c>
      <c r="F22" s="390" t="s">
        <v>171</v>
      </c>
      <c r="G22" s="394" t="s">
        <v>171</v>
      </c>
      <c r="H22" s="390" t="s">
        <v>171</v>
      </c>
      <c r="I22" s="390" t="s">
        <v>171</v>
      </c>
      <c r="J22" s="390" t="s">
        <v>171</v>
      </c>
      <c r="K22" s="390" t="s">
        <v>171</v>
      </c>
      <c r="L22" s="390" t="s">
        <v>171</v>
      </c>
      <c r="M22" s="461" t="s">
        <v>171</v>
      </c>
    </row>
    <row r="23" spans="1:13" s="152" customFormat="1" ht="30" customHeight="1">
      <c r="A23" s="388" t="s">
        <v>122</v>
      </c>
      <c r="B23" s="70" t="s">
        <v>248</v>
      </c>
      <c r="C23" s="391">
        <f>SUM(C14,C15)</f>
        <v>23429971</v>
      </c>
      <c r="D23" s="391">
        <f>SUM(D14,D15,D18)</f>
        <v>25599406</v>
      </c>
      <c r="E23" s="391">
        <f aca="true" t="shared" si="0" ref="E23:M23">SUM(E14,E15,E18)</f>
        <v>28748799</v>
      </c>
      <c r="F23" s="391">
        <f t="shared" si="0"/>
        <v>28778942</v>
      </c>
      <c r="G23" s="391">
        <f t="shared" si="0"/>
        <v>25325283</v>
      </c>
      <c r="H23" s="391">
        <f t="shared" si="0"/>
        <v>20717890</v>
      </c>
      <c r="I23" s="391">
        <f t="shared" si="0"/>
        <v>14821027</v>
      </c>
      <c r="J23" s="391">
        <f t="shared" si="0"/>
        <v>8812536</v>
      </c>
      <c r="K23" s="391">
        <f t="shared" si="0"/>
        <v>3812536</v>
      </c>
      <c r="L23" s="391">
        <f t="shared" si="0"/>
        <v>0</v>
      </c>
      <c r="M23" s="463">
        <f t="shared" si="0"/>
        <v>0</v>
      </c>
    </row>
    <row r="24" spans="1:13" s="152" customFormat="1" ht="27" customHeight="1">
      <c r="A24" s="388" t="s">
        <v>130</v>
      </c>
      <c r="B24" s="31" t="s">
        <v>131</v>
      </c>
      <c r="C24" s="392">
        <f>SUM('zał12-syt finans'!C11)</f>
        <v>59026343</v>
      </c>
      <c r="D24" s="392">
        <f>SUM('zał12-syt finans'!D11)</f>
        <v>64381665</v>
      </c>
      <c r="E24" s="392">
        <f>SUM('zał12-syt finans'!E11)</f>
        <v>72052548</v>
      </c>
      <c r="F24" s="392">
        <f>SUM('zał12-syt finans'!F11)</f>
        <v>66034857</v>
      </c>
      <c r="G24" s="392">
        <f>SUM('zał12-syt finans'!G11)</f>
        <v>67553659</v>
      </c>
      <c r="H24" s="392">
        <f>SUM('zał12-syt finans'!H11)</f>
        <v>69107393</v>
      </c>
      <c r="I24" s="392">
        <f>SUM('zał12-syt finans'!I11)</f>
        <v>70696863</v>
      </c>
      <c r="J24" s="392">
        <f>SUM('zał12-syt finans'!J11)</f>
        <v>72322891</v>
      </c>
      <c r="K24" s="392">
        <f>SUM('zał12-syt finans'!K11)</f>
        <v>73986318</v>
      </c>
      <c r="L24" s="392">
        <f>SUM('zał12-syt finans'!L11)</f>
        <v>75688003</v>
      </c>
      <c r="M24" s="464">
        <f>SUM('zał12-syt finans'!M11)</f>
        <v>77428828</v>
      </c>
    </row>
    <row r="25" spans="1:13" s="152" customFormat="1" ht="30" customHeight="1">
      <c r="A25" s="388" t="s">
        <v>133</v>
      </c>
      <c r="B25" s="31" t="s">
        <v>249</v>
      </c>
      <c r="C25" s="393">
        <f aca="true" t="shared" si="1" ref="C25:M25">C23/C24*100</f>
        <v>39.694092178470214</v>
      </c>
      <c r="D25" s="393">
        <f t="shared" si="1"/>
        <v>39.761950859767296</v>
      </c>
      <c r="E25" s="393">
        <f t="shared" si="1"/>
        <v>39.899767319817755</v>
      </c>
      <c r="F25" s="393">
        <f t="shared" si="1"/>
        <v>43.58144063218006</v>
      </c>
      <c r="G25" s="395">
        <f t="shared" si="1"/>
        <v>37.48913585865127</v>
      </c>
      <c r="H25" s="393">
        <f t="shared" si="1"/>
        <v>29.979267196492277</v>
      </c>
      <c r="I25" s="393">
        <f t="shared" si="1"/>
        <v>20.96419327686435</v>
      </c>
      <c r="J25" s="393">
        <f t="shared" si="1"/>
        <v>12.184988567450933</v>
      </c>
      <c r="K25" s="393">
        <f t="shared" si="1"/>
        <v>5.153028428850859</v>
      </c>
      <c r="L25" s="393">
        <f t="shared" si="1"/>
        <v>0</v>
      </c>
      <c r="M25" s="465">
        <f t="shared" si="1"/>
        <v>0</v>
      </c>
    </row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</sheetData>
  <mergeCells count="5">
    <mergeCell ref="H11:M11"/>
    <mergeCell ref="A11:A12"/>
    <mergeCell ref="B11:B12"/>
    <mergeCell ref="C11:C12"/>
    <mergeCell ref="D11:G11"/>
  </mergeCells>
  <printOptions/>
  <pageMargins left="0.79" right="0.22" top="1" bottom="1" header="2.17" footer="0.5"/>
  <pageSetup horizontalDpi="600" verticalDpi="600" orientation="portrait" paperSize="9" r:id="rId1"/>
  <headerFooter alignWithMargins="0">
    <oddHeader>&amp;C&amp;"Arial CE,Pogrubiony"&amp;14PROGNOZY KWOTY DŁUGU POWIATU IŁAWSKIEGO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workbookViewId="0" topLeftCell="E1">
      <selection activeCell="N11" sqref="N11"/>
    </sheetView>
  </sheetViews>
  <sheetFormatPr defaultColWidth="9.00390625" defaultRowHeight="12.75"/>
  <cols>
    <col min="1" max="1" width="4.375" style="43" customWidth="1"/>
    <col min="2" max="2" width="40.875" style="43" customWidth="1"/>
    <col min="3" max="3" width="13.25390625" style="43" customWidth="1"/>
    <col min="4" max="6" width="13.125" style="109" customWidth="1"/>
    <col min="7" max="7" width="15.125" style="109" customWidth="1"/>
    <col min="8" max="8" width="13.00390625" style="109" customWidth="1"/>
    <col min="9" max="9" width="14.625" style="109" customWidth="1"/>
    <col min="10" max="12" width="13.125" style="109" customWidth="1"/>
    <col min="13" max="13" width="14.625" style="109" customWidth="1"/>
    <col min="14" max="14" width="13.00390625" style="109" customWidth="1"/>
    <col min="15" max="16384" width="9.125" style="43" customWidth="1"/>
  </cols>
  <sheetData>
    <row r="1" spans="4:25" ht="14.25">
      <c r="D1" s="72"/>
      <c r="E1" s="72"/>
      <c r="F1" s="44" t="s">
        <v>13</v>
      </c>
      <c r="H1" s="72"/>
      <c r="I1" s="72"/>
      <c r="J1" s="44" t="s">
        <v>13</v>
      </c>
      <c r="K1" s="110"/>
      <c r="L1" s="110"/>
      <c r="M1" s="110"/>
      <c r="N1" s="44" t="s">
        <v>13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4:25" ht="14.25">
      <c r="D2" s="73"/>
      <c r="E2" s="73"/>
      <c r="F2" s="44" t="s">
        <v>506</v>
      </c>
      <c r="H2" s="73"/>
      <c r="I2" s="73"/>
      <c r="J2" s="44" t="s">
        <v>506</v>
      </c>
      <c r="K2" s="111"/>
      <c r="L2" s="111"/>
      <c r="M2" s="111"/>
      <c r="N2" s="44" t="s">
        <v>506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4:25" ht="14.25">
      <c r="D3" s="73"/>
      <c r="E3" s="73"/>
      <c r="F3" s="44" t="s">
        <v>504</v>
      </c>
      <c r="H3" s="73"/>
      <c r="I3" s="73"/>
      <c r="J3" s="44" t="s">
        <v>504</v>
      </c>
      <c r="K3" s="111"/>
      <c r="L3" s="111"/>
      <c r="M3" s="111"/>
      <c r="N3" s="44" t="s">
        <v>504</v>
      </c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4:12" ht="14.25">
      <c r="D4" s="66"/>
      <c r="E4" s="66"/>
      <c r="F4" s="66"/>
      <c r="H4" s="43"/>
      <c r="I4" s="43"/>
      <c r="J4" s="66"/>
      <c r="K4" s="112"/>
      <c r="L4" s="112"/>
    </row>
    <row r="5" spans="3:10" ht="12.75">
      <c r="C5" s="30"/>
      <c r="D5" s="43"/>
      <c r="E5" s="25"/>
      <c r="F5" s="43"/>
      <c r="H5" s="43"/>
      <c r="I5" s="43"/>
      <c r="J5" s="43"/>
    </row>
    <row r="6" spans="5:14" ht="15" customHeight="1">
      <c r="E6" s="147"/>
      <c r="F6" s="77" t="s">
        <v>83</v>
      </c>
      <c r="H6" s="43"/>
      <c r="I6" s="43"/>
      <c r="J6" s="77" t="s">
        <v>83</v>
      </c>
      <c r="N6" s="77" t="s">
        <v>83</v>
      </c>
    </row>
    <row r="7" spans="1:14" ht="12.75">
      <c r="A7" s="169" t="s">
        <v>163</v>
      </c>
      <c r="B7" s="169" t="s">
        <v>107</v>
      </c>
      <c r="C7" s="747" t="s">
        <v>470</v>
      </c>
      <c r="D7" s="324" t="s">
        <v>84</v>
      </c>
      <c r="E7" s="325"/>
      <c r="F7" s="326"/>
      <c r="G7" s="742" t="s">
        <v>85</v>
      </c>
      <c r="H7" s="743"/>
      <c r="I7" s="743"/>
      <c r="J7" s="744"/>
      <c r="K7" s="742" t="s">
        <v>85</v>
      </c>
      <c r="L7" s="743"/>
      <c r="M7" s="743"/>
      <c r="N7" s="744"/>
    </row>
    <row r="8" spans="1:14" ht="12.75">
      <c r="A8" s="375"/>
      <c r="B8" s="375"/>
      <c r="C8" s="748"/>
      <c r="D8" s="327">
        <v>2008</v>
      </c>
      <c r="E8" s="328">
        <v>2009</v>
      </c>
      <c r="F8" s="328">
        <v>2010</v>
      </c>
      <c r="G8" s="329">
        <v>2011</v>
      </c>
      <c r="H8" s="328">
        <v>2012</v>
      </c>
      <c r="I8" s="328">
        <v>2013</v>
      </c>
      <c r="J8" s="328">
        <v>2014</v>
      </c>
      <c r="K8" s="328">
        <v>2015</v>
      </c>
      <c r="L8" s="328">
        <v>2016</v>
      </c>
      <c r="M8" s="451">
        <v>2017</v>
      </c>
      <c r="N8" s="169"/>
    </row>
    <row r="9" spans="1:14" ht="12.75">
      <c r="A9" s="332"/>
      <c r="B9" s="332"/>
      <c r="C9" s="330">
        <v>2007</v>
      </c>
      <c r="D9" s="331"/>
      <c r="E9" s="332"/>
      <c r="F9" s="332"/>
      <c r="G9" s="333"/>
      <c r="H9" s="332"/>
      <c r="I9" s="332"/>
      <c r="J9" s="332"/>
      <c r="K9" s="332"/>
      <c r="L9" s="332"/>
      <c r="M9" s="452"/>
      <c r="N9" s="330"/>
    </row>
    <row r="10" spans="1:14" ht="12.75">
      <c r="A10" s="214">
        <v>1</v>
      </c>
      <c r="B10" s="214">
        <v>2</v>
      </c>
      <c r="C10" s="214">
        <v>3</v>
      </c>
      <c r="D10" s="214">
        <v>4</v>
      </c>
      <c r="E10" s="214">
        <v>5</v>
      </c>
      <c r="F10" s="214">
        <v>6</v>
      </c>
      <c r="G10" s="214">
        <v>3</v>
      </c>
      <c r="H10" s="214">
        <v>4</v>
      </c>
      <c r="I10" s="214">
        <v>5</v>
      </c>
      <c r="J10" s="214">
        <v>6</v>
      </c>
      <c r="K10" s="214">
        <v>3</v>
      </c>
      <c r="L10" s="214">
        <v>4</v>
      </c>
      <c r="M10" s="453">
        <v>5</v>
      </c>
      <c r="N10" s="214"/>
    </row>
    <row r="11" spans="1:14" s="338" customFormat="1" ht="16.5">
      <c r="A11" s="334" t="s">
        <v>111</v>
      </c>
      <c r="B11" s="335" t="s">
        <v>297</v>
      </c>
      <c r="C11" s="336">
        <f aca="true" t="shared" si="0" ref="C11:K11">SUM(C12,C16,C17,C18,C19)</f>
        <v>59026343</v>
      </c>
      <c r="D11" s="336">
        <f t="shared" si="0"/>
        <v>64381665</v>
      </c>
      <c r="E11" s="336">
        <f t="shared" si="0"/>
        <v>72052548</v>
      </c>
      <c r="F11" s="336">
        <v>66034857</v>
      </c>
      <c r="G11" s="336">
        <f t="shared" si="0"/>
        <v>67553659</v>
      </c>
      <c r="H11" s="336">
        <f t="shared" si="0"/>
        <v>69107393</v>
      </c>
      <c r="I11" s="336">
        <f t="shared" si="0"/>
        <v>70696863</v>
      </c>
      <c r="J11" s="336">
        <f t="shared" si="0"/>
        <v>72322891</v>
      </c>
      <c r="K11" s="336">
        <f t="shared" si="0"/>
        <v>73986318</v>
      </c>
      <c r="L11" s="336">
        <f>SUM(L12,L16,L17,L18,L19)</f>
        <v>75688003</v>
      </c>
      <c r="M11" s="363">
        <f>SUM(M12,M16,M17,M18,M19)</f>
        <v>77428828</v>
      </c>
      <c r="N11" s="337">
        <f>SUM(N12,N16,N17,N18,N19)</f>
        <v>79751692.84</v>
      </c>
    </row>
    <row r="12" spans="1:14" s="28" customFormat="1" ht="15">
      <c r="A12" s="339" t="s">
        <v>299</v>
      </c>
      <c r="B12" s="340" t="s">
        <v>86</v>
      </c>
      <c r="C12" s="336">
        <f aca="true" t="shared" si="1" ref="C12:K12">SUM(C13:C15)</f>
        <v>16092062</v>
      </c>
      <c r="D12" s="336">
        <f t="shared" si="1"/>
        <v>16020118</v>
      </c>
      <c r="E12" s="336">
        <f t="shared" si="1"/>
        <v>20529416</v>
      </c>
      <c r="F12" s="336">
        <v>15314919</v>
      </c>
      <c r="G12" s="336">
        <f t="shared" si="1"/>
        <v>15667162</v>
      </c>
      <c r="H12" s="336">
        <f t="shared" si="1"/>
        <v>16027507</v>
      </c>
      <c r="I12" s="336">
        <f t="shared" si="1"/>
        <v>16396140</v>
      </c>
      <c r="J12" s="336">
        <f t="shared" si="1"/>
        <v>16773251</v>
      </c>
      <c r="K12" s="336">
        <f t="shared" si="1"/>
        <v>17159036</v>
      </c>
      <c r="L12" s="336">
        <f>SUM(L13:L15)</f>
        <v>17553693</v>
      </c>
      <c r="M12" s="363">
        <f>SUM(M13:M15)</f>
        <v>17957428</v>
      </c>
      <c r="N12" s="337">
        <f>SUM(N13:N15)</f>
        <v>18496150.84</v>
      </c>
    </row>
    <row r="13" spans="1:14" s="28" customFormat="1" ht="25.5" customHeight="1">
      <c r="A13" s="75" t="s">
        <v>112</v>
      </c>
      <c r="B13" s="341" t="s">
        <v>87</v>
      </c>
      <c r="C13" s="342">
        <v>9181109</v>
      </c>
      <c r="D13" s="342">
        <v>8977837</v>
      </c>
      <c r="E13" s="342">
        <f aca="true" t="shared" si="2" ref="E13:E18">ROUND(D13*102.3%,0)</f>
        <v>9184327</v>
      </c>
      <c r="F13" s="342">
        <v>9395567</v>
      </c>
      <c r="G13" s="342">
        <f aca="true" t="shared" si="3" ref="G13:M13">ROUND(F13*102.3%,0)</f>
        <v>9611665</v>
      </c>
      <c r="H13" s="342">
        <f t="shared" si="3"/>
        <v>9832733</v>
      </c>
      <c r="I13" s="342">
        <f t="shared" si="3"/>
        <v>10058886</v>
      </c>
      <c r="J13" s="342">
        <f t="shared" si="3"/>
        <v>10290240</v>
      </c>
      <c r="K13" s="342">
        <f t="shared" si="3"/>
        <v>10526916</v>
      </c>
      <c r="L13" s="342">
        <f t="shared" si="3"/>
        <v>10769035</v>
      </c>
      <c r="M13" s="362">
        <f t="shared" si="3"/>
        <v>11016723</v>
      </c>
      <c r="N13" s="343">
        <f aca="true" t="shared" si="4" ref="N13:N19">M13*103%</f>
        <v>11347224.69</v>
      </c>
    </row>
    <row r="14" spans="1:14" s="28" customFormat="1" ht="12.75" customHeight="1">
      <c r="A14" s="75" t="s">
        <v>113</v>
      </c>
      <c r="B14" s="341" t="s">
        <v>88</v>
      </c>
      <c r="C14" s="342">
        <v>288357</v>
      </c>
      <c r="D14" s="342">
        <v>431546</v>
      </c>
      <c r="E14" s="342">
        <f t="shared" si="2"/>
        <v>441472</v>
      </c>
      <c r="F14" s="342">
        <v>445347</v>
      </c>
      <c r="G14" s="342">
        <f aca="true" t="shared" si="5" ref="G14:M14">ROUND(F14*102.3%,0)</f>
        <v>455590</v>
      </c>
      <c r="H14" s="342">
        <f t="shared" si="5"/>
        <v>466069</v>
      </c>
      <c r="I14" s="342">
        <f t="shared" si="5"/>
        <v>476789</v>
      </c>
      <c r="J14" s="342">
        <f t="shared" si="5"/>
        <v>487755</v>
      </c>
      <c r="K14" s="342">
        <f t="shared" si="5"/>
        <v>498973</v>
      </c>
      <c r="L14" s="342">
        <f t="shared" si="5"/>
        <v>510449</v>
      </c>
      <c r="M14" s="362">
        <f t="shared" si="5"/>
        <v>522189</v>
      </c>
      <c r="N14" s="343">
        <f t="shared" si="4"/>
        <v>537854.67</v>
      </c>
    </row>
    <row r="15" spans="1:14" s="28" customFormat="1" ht="12.75" customHeight="1">
      <c r="A15" s="75" t="s">
        <v>114</v>
      </c>
      <c r="B15" s="341" t="s">
        <v>89</v>
      </c>
      <c r="C15" s="342">
        <v>6622596</v>
      </c>
      <c r="D15" s="342">
        <v>6610735</v>
      </c>
      <c r="E15" s="342">
        <f>ROUND(D15*102.3%,0)+4140835</f>
        <v>10903617</v>
      </c>
      <c r="F15" s="342">
        <v>5474005</v>
      </c>
      <c r="G15" s="342">
        <f aca="true" t="shared" si="6" ref="G15:M15">ROUND(F15*102.3%,0)</f>
        <v>5599907</v>
      </c>
      <c r="H15" s="342">
        <f t="shared" si="6"/>
        <v>5728705</v>
      </c>
      <c r="I15" s="342">
        <f t="shared" si="6"/>
        <v>5860465</v>
      </c>
      <c r="J15" s="342">
        <f t="shared" si="6"/>
        <v>5995256</v>
      </c>
      <c r="K15" s="342">
        <f t="shared" si="6"/>
        <v>6133147</v>
      </c>
      <c r="L15" s="342">
        <f t="shared" si="6"/>
        <v>6274209</v>
      </c>
      <c r="M15" s="362">
        <f t="shared" si="6"/>
        <v>6418516</v>
      </c>
      <c r="N15" s="343">
        <f t="shared" si="4"/>
        <v>6611071.48</v>
      </c>
    </row>
    <row r="16" spans="1:14" s="28" customFormat="1" ht="15">
      <c r="A16" s="344" t="s">
        <v>56</v>
      </c>
      <c r="B16" s="345" t="s">
        <v>164</v>
      </c>
      <c r="C16" s="346">
        <v>33738903</v>
      </c>
      <c r="D16" s="347">
        <f>37300726+145664</f>
        <v>37446390</v>
      </c>
      <c r="E16" s="347">
        <v>38158643</v>
      </c>
      <c r="F16" s="347">
        <v>39036292</v>
      </c>
      <c r="G16" s="347">
        <f aca="true" t="shared" si="7" ref="G16:M16">ROUND(F16*102.3%,0)</f>
        <v>39934127</v>
      </c>
      <c r="H16" s="347">
        <f t="shared" si="7"/>
        <v>40852612</v>
      </c>
      <c r="I16" s="347">
        <f t="shared" si="7"/>
        <v>41792222</v>
      </c>
      <c r="J16" s="347">
        <f t="shared" si="7"/>
        <v>42753443</v>
      </c>
      <c r="K16" s="347">
        <f t="shared" si="7"/>
        <v>43736772</v>
      </c>
      <c r="L16" s="347">
        <f t="shared" si="7"/>
        <v>44742718</v>
      </c>
      <c r="M16" s="454">
        <f t="shared" si="7"/>
        <v>45771801</v>
      </c>
      <c r="N16" s="337">
        <f t="shared" si="4"/>
        <v>47144955.03</v>
      </c>
    </row>
    <row r="17" spans="1:14" s="351" customFormat="1" ht="30" customHeight="1">
      <c r="A17" s="348" t="s">
        <v>60</v>
      </c>
      <c r="B17" s="349" t="s">
        <v>90</v>
      </c>
      <c r="C17" s="292">
        <v>5040053</v>
      </c>
      <c r="D17" s="347">
        <v>5737551</v>
      </c>
      <c r="E17" s="347">
        <f t="shared" si="2"/>
        <v>5869515</v>
      </c>
      <c r="F17" s="347">
        <v>5990126</v>
      </c>
      <c r="G17" s="347">
        <f aca="true" t="shared" si="8" ref="G17:M17">ROUND(F17*102.3%,0)</f>
        <v>6127899</v>
      </c>
      <c r="H17" s="347">
        <f t="shared" si="8"/>
        <v>6268841</v>
      </c>
      <c r="I17" s="347">
        <f t="shared" si="8"/>
        <v>6413024</v>
      </c>
      <c r="J17" s="347">
        <f t="shared" si="8"/>
        <v>6560524</v>
      </c>
      <c r="K17" s="347">
        <f t="shared" si="8"/>
        <v>6711416</v>
      </c>
      <c r="L17" s="347">
        <f t="shared" si="8"/>
        <v>6865779</v>
      </c>
      <c r="M17" s="454">
        <f t="shared" si="8"/>
        <v>7023692</v>
      </c>
      <c r="N17" s="350">
        <f t="shared" si="4"/>
        <v>7234402.76</v>
      </c>
    </row>
    <row r="18" spans="1:14" s="351" customFormat="1" ht="15">
      <c r="A18" s="348" t="s">
        <v>61</v>
      </c>
      <c r="B18" s="352" t="s">
        <v>165</v>
      </c>
      <c r="C18" s="347">
        <v>3441698</v>
      </c>
      <c r="D18" s="347">
        <v>3093686</v>
      </c>
      <c r="E18" s="347">
        <f t="shared" si="2"/>
        <v>3164841</v>
      </c>
      <c r="F18" s="347">
        <v>3033720</v>
      </c>
      <c r="G18" s="347">
        <f aca="true" t="shared" si="9" ref="G18:M18">ROUND(F18*102.3%,0)</f>
        <v>3103496</v>
      </c>
      <c r="H18" s="347">
        <f t="shared" si="9"/>
        <v>3174876</v>
      </c>
      <c r="I18" s="347">
        <f t="shared" si="9"/>
        <v>3247898</v>
      </c>
      <c r="J18" s="347">
        <f t="shared" si="9"/>
        <v>3322600</v>
      </c>
      <c r="K18" s="347">
        <f t="shared" si="9"/>
        <v>3399020</v>
      </c>
      <c r="L18" s="347">
        <f t="shared" si="9"/>
        <v>3477197</v>
      </c>
      <c r="M18" s="454">
        <f t="shared" si="9"/>
        <v>3557173</v>
      </c>
      <c r="N18" s="350">
        <f t="shared" si="4"/>
        <v>3663888.19</v>
      </c>
    </row>
    <row r="19" spans="1:14" s="351" customFormat="1" ht="15">
      <c r="A19" s="348" t="s">
        <v>64</v>
      </c>
      <c r="B19" s="352" t="s">
        <v>91</v>
      </c>
      <c r="C19" s="347">
        <v>713627</v>
      </c>
      <c r="D19" s="347">
        <v>2083920</v>
      </c>
      <c r="E19" s="347">
        <f>2600000+1730133</f>
        <v>4330133</v>
      </c>
      <c r="F19" s="347">
        <v>2659800</v>
      </c>
      <c r="G19" s="347">
        <f aca="true" t="shared" si="10" ref="G19:M19">ROUND(F19*102.3%,0)</f>
        <v>2720975</v>
      </c>
      <c r="H19" s="347">
        <f t="shared" si="10"/>
        <v>2783557</v>
      </c>
      <c r="I19" s="347">
        <f t="shared" si="10"/>
        <v>2847579</v>
      </c>
      <c r="J19" s="347">
        <f t="shared" si="10"/>
        <v>2913073</v>
      </c>
      <c r="K19" s="347">
        <f t="shared" si="10"/>
        <v>2980074</v>
      </c>
      <c r="L19" s="347">
        <f t="shared" si="10"/>
        <v>3048616</v>
      </c>
      <c r="M19" s="454">
        <f t="shared" si="10"/>
        <v>3118734</v>
      </c>
      <c r="N19" s="337">
        <f t="shared" si="4"/>
        <v>3212296.02</v>
      </c>
    </row>
    <row r="20" spans="1:14" s="338" customFormat="1" ht="16.5">
      <c r="A20" s="334" t="s">
        <v>115</v>
      </c>
      <c r="B20" s="335" t="s">
        <v>228</v>
      </c>
      <c r="C20" s="336">
        <f>SUM(C25,C21)</f>
        <v>60636770</v>
      </c>
      <c r="D20" s="336">
        <f>SUM(D25,D21)</f>
        <v>68939886</v>
      </c>
      <c r="E20" s="336">
        <f aca="true" t="shared" si="11" ref="E20:K20">E21+E25</f>
        <v>75201941</v>
      </c>
      <c r="F20" s="336">
        <f t="shared" si="11"/>
        <v>66065000</v>
      </c>
      <c r="G20" s="336">
        <f t="shared" si="11"/>
        <v>64100000</v>
      </c>
      <c r="H20" s="336">
        <f t="shared" si="11"/>
        <v>64500000</v>
      </c>
      <c r="I20" s="336">
        <f t="shared" si="11"/>
        <v>64800000</v>
      </c>
      <c r="J20" s="336">
        <f t="shared" si="11"/>
        <v>65100000</v>
      </c>
      <c r="K20" s="336">
        <f t="shared" si="11"/>
        <v>65500000</v>
      </c>
      <c r="L20" s="336">
        <f>L21+L25</f>
        <v>65800000</v>
      </c>
      <c r="M20" s="363">
        <f>M21+M25</f>
        <v>63500000</v>
      </c>
      <c r="N20" s="337">
        <f>SUM(N21,N25)</f>
        <v>63500000</v>
      </c>
    </row>
    <row r="21" spans="1:14" s="28" customFormat="1" ht="15">
      <c r="A21" s="339" t="s">
        <v>299</v>
      </c>
      <c r="B21" s="340" t="s">
        <v>52</v>
      </c>
      <c r="C21" s="336">
        <v>56671685</v>
      </c>
      <c r="D21" s="347">
        <v>62997828</v>
      </c>
      <c r="E21" s="347">
        <v>63000000</v>
      </c>
      <c r="F21" s="347">
        <v>63300000</v>
      </c>
      <c r="G21" s="347">
        <v>63600000</v>
      </c>
      <c r="H21" s="347">
        <v>64000000</v>
      </c>
      <c r="I21" s="347">
        <v>64300000</v>
      </c>
      <c r="J21" s="347">
        <v>64600000</v>
      </c>
      <c r="K21" s="347">
        <v>65000000</v>
      </c>
      <c r="L21" s="347">
        <v>65300000</v>
      </c>
      <c r="M21" s="454">
        <v>63000000</v>
      </c>
      <c r="N21" s="337">
        <v>63000000</v>
      </c>
    </row>
    <row r="22" spans="1:14" s="28" customFormat="1" ht="12.75" customHeight="1" hidden="1">
      <c r="A22" s="353" t="s">
        <v>112</v>
      </c>
      <c r="B22" s="341" t="s">
        <v>92</v>
      </c>
      <c r="C22" s="342">
        <f>SUM(C23:C24)</f>
        <v>1326594</v>
      </c>
      <c r="D22" s="342">
        <f aca="true" t="shared" si="12" ref="D22:K22">SUM(D23:D24)</f>
        <v>1344287</v>
      </c>
      <c r="E22" s="342">
        <f t="shared" si="12"/>
        <v>1246085</v>
      </c>
      <c r="F22" s="342">
        <f t="shared" si="12"/>
        <v>1066506</v>
      </c>
      <c r="G22" s="342">
        <f t="shared" si="12"/>
        <v>938349</v>
      </c>
      <c r="H22" s="342">
        <f t="shared" si="12"/>
        <v>701792</v>
      </c>
      <c r="I22" s="342">
        <f t="shared" si="12"/>
        <v>543482</v>
      </c>
      <c r="J22" s="342">
        <f t="shared" si="12"/>
        <v>315700</v>
      </c>
      <c r="K22" s="342">
        <f t="shared" si="12"/>
        <v>161100</v>
      </c>
      <c r="L22" s="342">
        <f>SUM(L23:L24)</f>
        <v>161100</v>
      </c>
      <c r="M22" s="362">
        <f>SUM(M23:M24)</f>
        <v>161100</v>
      </c>
      <c r="N22" s="343">
        <f>SUM(N23:N24)</f>
        <v>0</v>
      </c>
    </row>
    <row r="23" spans="1:14" s="28" customFormat="1" ht="12.75" hidden="1">
      <c r="A23" s="354"/>
      <c r="B23" s="355" t="s">
        <v>93</v>
      </c>
      <c r="C23" s="342">
        <f>1326594-C24</f>
        <v>1177000</v>
      </c>
      <c r="D23" s="342">
        <f>1623000-524713</f>
        <v>1098287</v>
      </c>
      <c r="E23" s="342">
        <v>1082085</v>
      </c>
      <c r="F23" s="342">
        <v>1066506</v>
      </c>
      <c r="G23" s="342">
        <v>938349</v>
      </c>
      <c r="H23" s="342">
        <v>701792</v>
      </c>
      <c r="I23" s="342">
        <v>543482</v>
      </c>
      <c r="J23" s="342">
        <v>315700</v>
      </c>
      <c r="K23" s="342">
        <v>161100</v>
      </c>
      <c r="L23" s="342">
        <v>161100</v>
      </c>
      <c r="M23" s="362">
        <v>161100</v>
      </c>
      <c r="N23" s="343"/>
    </row>
    <row r="24" spans="1:14" s="28" customFormat="1" ht="12.75" hidden="1">
      <c r="A24" s="354"/>
      <c r="B24" s="355" t="s">
        <v>94</v>
      </c>
      <c r="C24" s="342">
        <v>149594</v>
      </c>
      <c r="D24" s="342">
        <v>246000</v>
      </c>
      <c r="E24" s="342">
        <v>164000</v>
      </c>
      <c r="F24" s="342">
        <v>0</v>
      </c>
      <c r="G24" s="342">
        <v>0</v>
      </c>
      <c r="H24" s="342">
        <v>0</v>
      </c>
      <c r="I24" s="342">
        <v>0</v>
      </c>
      <c r="J24" s="342">
        <v>0</v>
      </c>
      <c r="K24" s="342">
        <v>0</v>
      </c>
      <c r="L24" s="342">
        <v>0</v>
      </c>
      <c r="M24" s="362">
        <v>0</v>
      </c>
      <c r="N24" s="343">
        <v>0</v>
      </c>
    </row>
    <row r="25" spans="1:14" s="28" customFormat="1" ht="15">
      <c r="A25" s="339" t="s">
        <v>56</v>
      </c>
      <c r="B25" s="340" t="s">
        <v>95</v>
      </c>
      <c r="C25" s="336">
        <v>3965085</v>
      </c>
      <c r="D25" s="336">
        <v>5942058</v>
      </c>
      <c r="E25" s="336">
        <v>12201941</v>
      </c>
      <c r="F25" s="336">
        <v>2765000</v>
      </c>
      <c r="G25" s="336">
        <v>500000</v>
      </c>
      <c r="H25" s="336">
        <v>500000</v>
      </c>
      <c r="I25" s="336">
        <v>500000</v>
      </c>
      <c r="J25" s="336">
        <v>500000</v>
      </c>
      <c r="K25" s="336">
        <v>500000</v>
      </c>
      <c r="L25" s="336">
        <v>500000</v>
      </c>
      <c r="M25" s="363">
        <v>500000</v>
      </c>
      <c r="N25" s="337">
        <v>500000</v>
      </c>
    </row>
    <row r="26" spans="1:14" s="338" customFormat="1" ht="16.5">
      <c r="A26" s="334" t="s">
        <v>116</v>
      </c>
      <c r="B26" s="335" t="s">
        <v>96</v>
      </c>
      <c r="C26" s="336">
        <f>C11-C20</f>
        <v>-1610427</v>
      </c>
      <c r="D26" s="336">
        <f aca="true" t="shared" si="13" ref="D26:K26">D11-D20</f>
        <v>-4558221</v>
      </c>
      <c r="E26" s="336">
        <f t="shared" si="13"/>
        <v>-3149393</v>
      </c>
      <c r="F26" s="336">
        <f t="shared" si="13"/>
        <v>-30143</v>
      </c>
      <c r="G26" s="336">
        <f t="shared" si="13"/>
        <v>3453659</v>
      </c>
      <c r="H26" s="336">
        <f t="shared" si="13"/>
        <v>4607393</v>
      </c>
      <c r="I26" s="336">
        <f t="shared" si="13"/>
        <v>5896863</v>
      </c>
      <c r="J26" s="336">
        <f t="shared" si="13"/>
        <v>7222891</v>
      </c>
      <c r="K26" s="336">
        <f t="shared" si="13"/>
        <v>8486318</v>
      </c>
      <c r="L26" s="336">
        <f>L11-L20</f>
        <v>9888003</v>
      </c>
      <c r="M26" s="363">
        <f>M11-M20</f>
        <v>13928828</v>
      </c>
      <c r="N26" s="337">
        <f>N11-N20</f>
        <v>16251692.840000004</v>
      </c>
    </row>
    <row r="27" spans="1:14" s="357" customFormat="1" ht="38.25" customHeight="1">
      <c r="A27" s="334" t="s">
        <v>132</v>
      </c>
      <c r="B27" s="356" t="s">
        <v>97</v>
      </c>
      <c r="C27" s="336">
        <v>20733971</v>
      </c>
      <c r="D27" s="336">
        <f aca="true" t="shared" si="14" ref="D27:N27">SUM(C41)</f>
        <v>23429971</v>
      </c>
      <c r="E27" s="336">
        <f t="shared" si="14"/>
        <v>25599406</v>
      </c>
      <c r="F27" s="336">
        <f t="shared" si="14"/>
        <v>28748799</v>
      </c>
      <c r="G27" s="336">
        <f t="shared" si="14"/>
        <v>28778942</v>
      </c>
      <c r="H27" s="336">
        <f t="shared" si="14"/>
        <v>25325283</v>
      </c>
      <c r="I27" s="336">
        <f t="shared" si="14"/>
        <v>20717890</v>
      </c>
      <c r="J27" s="336">
        <f t="shared" si="14"/>
        <v>14821027</v>
      </c>
      <c r="K27" s="336">
        <f t="shared" si="14"/>
        <v>8812536</v>
      </c>
      <c r="L27" s="336">
        <f t="shared" si="14"/>
        <v>3812536</v>
      </c>
      <c r="M27" s="363">
        <f t="shared" si="14"/>
        <v>0</v>
      </c>
      <c r="N27" s="337">
        <f t="shared" si="14"/>
        <v>0</v>
      </c>
    </row>
    <row r="28" spans="1:14" s="359" customFormat="1" ht="30" customHeight="1">
      <c r="A28" s="339" t="s">
        <v>150</v>
      </c>
      <c r="B28" s="349" t="s">
        <v>366</v>
      </c>
      <c r="C28" s="358">
        <v>6223600</v>
      </c>
      <c r="D28" s="358">
        <f>SUM('zał2-sfin'!F14)</f>
        <v>5647035</v>
      </c>
      <c r="E28" s="358">
        <f>-E26+E32+E36+E39</f>
        <v>8349393</v>
      </c>
      <c r="F28" s="358">
        <f>-F26+F32+F36+F39</f>
        <v>5230143</v>
      </c>
      <c r="G28" s="358">
        <f>-G26+G32+G36+G39</f>
        <v>3246341</v>
      </c>
      <c r="H28" s="358">
        <f>-H26+H32+H36+H39</f>
        <v>2530978</v>
      </c>
      <c r="I28" s="358">
        <f>-I26+I32+I36+I39</f>
        <v>1407137</v>
      </c>
      <c r="J28" s="358">
        <v>0</v>
      </c>
      <c r="K28" s="358">
        <v>0</v>
      </c>
      <c r="L28" s="358">
        <v>0</v>
      </c>
      <c r="M28" s="455">
        <v>0</v>
      </c>
      <c r="N28" s="337">
        <f>240162+N31+N39</f>
        <v>3551162</v>
      </c>
    </row>
    <row r="29" spans="1:14" s="359" customFormat="1" ht="15" customHeight="1" hidden="1">
      <c r="A29" s="339">
        <v>2</v>
      </c>
      <c r="B29" s="349" t="s">
        <v>98</v>
      </c>
      <c r="C29" s="360" t="s">
        <v>171</v>
      </c>
      <c r="D29" s="154" t="s">
        <v>171</v>
      </c>
      <c r="E29" s="154" t="s">
        <v>171</v>
      </c>
      <c r="F29" s="154" t="s">
        <v>171</v>
      </c>
      <c r="G29" s="154" t="s">
        <v>171</v>
      </c>
      <c r="H29" s="154" t="s">
        <v>171</v>
      </c>
      <c r="I29" s="154" t="s">
        <v>171</v>
      </c>
      <c r="J29" s="154" t="s">
        <v>171</v>
      </c>
      <c r="K29" s="154" t="s">
        <v>171</v>
      </c>
      <c r="L29" s="154" t="s">
        <v>171</v>
      </c>
      <c r="M29" s="456" t="s">
        <v>171</v>
      </c>
      <c r="N29" s="361" t="s">
        <v>171</v>
      </c>
    </row>
    <row r="30" spans="1:14" s="359" customFormat="1" ht="15" customHeight="1">
      <c r="A30" s="339" t="s">
        <v>151</v>
      </c>
      <c r="B30" s="352" t="s">
        <v>298</v>
      </c>
      <c r="C30" s="360">
        <f aca="true" t="shared" si="15" ref="C30:L30">SUM(C31,C35,C39,C40)</f>
        <v>4550689</v>
      </c>
      <c r="D30" s="360">
        <f t="shared" si="15"/>
        <v>5089284</v>
      </c>
      <c r="E30" s="360">
        <f t="shared" si="15"/>
        <v>7092440</v>
      </c>
      <c r="F30" s="360">
        <f t="shared" si="15"/>
        <v>7058947</v>
      </c>
      <c r="G30" s="360">
        <f t="shared" si="15"/>
        <v>8346264</v>
      </c>
      <c r="H30" s="360">
        <f t="shared" si="15"/>
        <v>8534266</v>
      </c>
      <c r="I30" s="360">
        <f t="shared" si="15"/>
        <v>8385051</v>
      </c>
      <c r="J30" s="360">
        <f t="shared" si="15"/>
        <v>6769118</v>
      </c>
      <c r="K30" s="360">
        <f t="shared" si="15"/>
        <v>5339940</v>
      </c>
      <c r="L30" s="360">
        <f t="shared" si="15"/>
        <v>4037536</v>
      </c>
      <c r="M30" s="456">
        <f>SUM(M31,M35,M39,M40)</f>
        <v>0</v>
      </c>
      <c r="N30" s="361"/>
    </row>
    <row r="31" spans="1:14" s="359" customFormat="1" ht="30">
      <c r="A31" s="339" t="s">
        <v>299</v>
      </c>
      <c r="B31" s="349" t="s">
        <v>55</v>
      </c>
      <c r="C31" s="336">
        <f aca="true" t="shared" si="16" ref="C31:L31">SUM(C32:C34)</f>
        <v>3550689</v>
      </c>
      <c r="D31" s="336">
        <f t="shared" si="16"/>
        <v>2898865</v>
      </c>
      <c r="E31" s="336">
        <f t="shared" si="16"/>
        <v>5137440</v>
      </c>
      <c r="F31" s="336">
        <f t="shared" si="16"/>
        <v>5138947</v>
      </c>
      <c r="G31" s="336">
        <f t="shared" si="16"/>
        <v>4966264</v>
      </c>
      <c r="H31" s="336">
        <f t="shared" si="16"/>
        <v>4674266</v>
      </c>
      <c r="I31" s="336">
        <f t="shared" si="16"/>
        <v>4045051</v>
      </c>
      <c r="J31" s="336">
        <f t="shared" si="16"/>
        <v>1949118</v>
      </c>
      <c r="K31" s="336">
        <f t="shared" si="16"/>
        <v>0</v>
      </c>
      <c r="L31" s="336">
        <f t="shared" si="16"/>
        <v>0</v>
      </c>
      <c r="M31" s="363">
        <f>SUM(M32:M34)</f>
        <v>0</v>
      </c>
      <c r="N31" s="337">
        <v>2311000</v>
      </c>
    </row>
    <row r="32" spans="1:14" s="359" customFormat="1" ht="15" customHeight="1">
      <c r="A32" s="75" t="s">
        <v>300</v>
      </c>
      <c r="B32" s="341" t="s">
        <v>301</v>
      </c>
      <c r="C32" s="342">
        <v>2527600</v>
      </c>
      <c r="D32" s="342">
        <v>1477600</v>
      </c>
      <c r="E32" s="342">
        <v>3700000</v>
      </c>
      <c r="F32" s="342">
        <v>3700000</v>
      </c>
      <c r="G32" s="342">
        <v>3700000</v>
      </c>
      <c r="H32" s="342">
        <v>3638371</v>
      </c>
      <c r="I32" s="342">
        <v>3304000</v>
      </c>
      <c r="J32" s="342">
        <v>1508491</v>
      </c>
      <c r="K32" s="342">
        <v>0</v>
      </c>
      <c r="L32" s="342">
        <v>0</v>
      </c>
      <c r="M32" s="362">
        <v>0</v>
      </c>
      <c r="N32" s="377">
        <v>0</v>
      </c>
    </row>
    <row r="33" spans="1:14" s="359" customFormat="1" ht="51" hidden="1">
      <c r="A33" s="75" t="s">
        <v>113</v>
      </c>
      <c r="B33" s="341" t="s">
        <v>53</v>
      </c>
      <c r="C33" s="342">
        <v>0</v>
      </c>
      <c r="D33" s="153"/>
      <c r="E33" s="153"/>
      <c r="F33" s="153"/>
      <c r="G33" s="153"/>
      <c r="H33" s="153"/>
      <c r="I33" s="153"/>
      <c r="J33" s="153"/>
      <c r="K33" s="153"/>
      <c r="L33" s="153"/>
      <c r="M33" s="362"/>
      <c r="N33" s="343"/>
    </row>
    <row r="34" spans="1:14" s="359" customFormat="1" ht="15" customHeight="1">
      <c r="A34" s="75" t="s">
        <v>113</v>
      </c>
      <c r="B34" s="341" t="s">
        <v>54</v>
      </c>
      <c r="C34" s="342">
        <v>1023089</v>
      </c>
      <c r="D34" s="342">
        <v>1421265</v>
      </c>
      <c r="E34" s="342">
        <f aca="true" t="shared" si="17" ref="E34:J34">ROUND(E44*5%,0)</f>
        <v>1437440</v>
      </c>
      <c r="F34" s="342">
        <f t="shared" si="17"/>
        <v>1438947</v>
      </c>
      <c r="G34" s="342">
        <f t="shared" si="17"/>
        <v>1266264</v>
      </c>
      <c r="H34" s="342">
        <f t="shared" si="17"/>
        <v>1035895</v>
      </c>
      <c r="I34" s="342">
        <f t="shared" si="17"/>
        <v>741051</v>
      </c>
      <c r="J34" s="342">
        <f t="shared" si="17"/>
        <v>440627</v>
      </c>
      <c r="K34" s="342">
        <v>0</v>
      </c>
      <c r="L34" s="342">
        <v>0</v>
      </c>
      <c r="M34" s="362">
        <v>0</v>
      </c>
      <c r="N34" s="362">
        <f>ROUND(N44*5%,0)</f>
        <v>12008</v>
      </c>
    </row>
    <row r="35" spans="1:14" s="359" customFormat="1" ht="30">
      <c r="A35" s="339" t="s">
        <v>56</v>
      </c>
      <c r="B35" s="349" t="s">
        <v>57</v>
      </c>
      <c r="C35" s="336">
        <f aca="true" t="shared" si="18" ref="C35:L35">SUM(C36:C38)</f>
        <v>0</v>
      </c>
      <c r="D35" s="336">
        <f t="shared" si="18"/>
        <v>190419</v>
      </c>
      <c r="E35" s="336">
        <f t="shared" si="18"/>
        <v>1955000</v>
      </c>
      <c r="F35" s="336">
        <f t="shared" si="18"/>
        <v>1920000</v>
      </c>
      <c r="G35" s="336">
        <f t="shared" si="18"/>
        <v>3380000</v>
      </c>
      <c r="H35" s="336">
        <f t="shared" si="18"/>
        <v>3860000</v>
      </c>
      <c r="I35" s="336">
        <f t="shared" si="18"/>
        <v>4340000</v>
      </c>
      <c r="J35" s="336">
        <f t="shared" si="18"/>
        <v>4820000</v>
      </c>
      <c r="K35" s="336">
        <f t="shared" si="18"/>
        <v>5339940</v>
      </c>
      <c r="L35" s="336">
        <f t="shared" si="18"/>
        <v>4037536</v>
      </c>
      <c r="M35" s="363">
        <f>SUM(M36:M38)</f>
        <v>0</v>
      </c>
      <c r="N35" s="363"/>
    </row>
    <row r="36" spans="1:14" s="359" customFormat="1" ht="15" customHeight="1">
      <c r="A36" s="75" t="s">
        <v>300</v>
      </c>
      <c r="B36" s="341" t="s">
        <v>301</v>
      </c>
      <c r="C36" s="342">
        <v>0</v>
      </c>
      <c r="D36" s="342">
        <v>0</v>
      </c>
      <c r="E36" s="342">
        <v>1500000</v>
      </c>
      <c r="F36" s="342">
        <v>1500000</v>
      </c>
      <c r="G36" s="342">
        <v>3000000</v>
      </c>
      <c r="H36" s="342">
        <v>3500000</v>
      </c>
      <c r="I36" s="342">
        <v>4000000</v>
      </c>
      <c r="J36" s="342">
        <v>4500000</v>
      </c>
      <c r="K36" s="342">
        <v>5000000</v>
      </c>
      <c r="L36" s="342">
        <v>3812536</v>
      </c>
      <c r="M36" s="362">
        <v>0</v>
      </c>
      <c r="N36" s="343"/>
    </row>
    <row r="37" spans="1:14" s="359" customFormat="1" ht="51" hidden="1">
      <c r="A37" s="75" t="s">
        <v>113</v>
      </c>
      <c r="B37" s="341" t="s">
        <v>53</v>
      </c>
      <c r="C37" s="342">
        <v>0</v>
      </c>
      <c r="D37" s="153"/>
      <c r="E37" s="342"/>
      <c r="F37" s="342"/>
      <c r="G37" s="342"/>
      <c r="H37" s="342"/>
      <c r="I37" s="342"/>
      <c r="J37" s="342"/>
      <c r="K37" s="342"/>
      <c r="L37" s="342"/>
      <c r="M37" s="362"/>
      <c r="N37" s="343"/>
    </row>
    <row r="38" spans="1:14" s="359" customFormat="1" ht="15" customHeight="1">
      <c r="A38" s="75" t="s">
        <v>113</v>
      </c>
      <c r="B38" s="341" t="s">
        <v>54</v>
      </c>
      <c r="C38" s="342">
        <v>0</v>
      </c>
      <c r="D38" s="342">
        <v>190419</v>
      </c>
      <c r="E38" s="342">
        <v>455000</v>
      </c>
      <c r="F38" s="342">
        <v>420000</v>
      </c>
      <c r="G38" s="342">
        <v>380000</v>
      </c>
      <c r="H38" s="342">
        <v>360000</v>
      </c>
      <c r="I38" s="342">
        <v>340000</v>
      </c>
      <c r="J38" s="342">
        <v>320000</v>
      </c>
      <c r="K38" s="342">
        <f>250000+89940</f>
        <v>339940</v>
      </c>
      <c r="L38" s="342">
        <v>225000</v>
      </c>
      <c r="M38" s="362"/>
      <c r="N38" s="343"/>
    </row>
    <row r="39" spans="1:14" s="359" customFormat="1" ht="15" customHeight="1">
      <c r="A39" s="339" t="s">
        <v>60</v>
      </c>
      <c r="B39" s="349" t="s">
        <v>59</v>
      </c>
      <c r="C39" s="336">
        <v>1000000</v>
      </c>
      <c r="D39" s="336">
        <v>2000000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63">
        <v>0</v>
      </c>
      <c r="N39" s="337">
        <v>1000000</v>
      </c>
    </row>
    <row r="40" spans="1:14" s="359" customFormat="1" ht="15" customHeight="1">
      <c r="A40" s="339" t="s">
        <v>61</v>
      </c>
      <c r="B40" s="349" t="s">
        <v>58</v>
      </c>
      <c r="C40" s="336">
        <v>0</v>
      </c>
      <c r="D40" s="336">
        <v>0</v>
      </c>
      <c r="E40" s="336">
        <v>0</v>
      </c>
      <c r="F40" s="336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63">
        <v>0</v>
      </c>
      <c r="N40" s="376">
        <v>0</v>
      </c>
    </row>
    <row r="41" spans="1:14" s="357" customFormat="1" ht="25.5" customHeight="1">
      <c r="A41" s="334" t="s">
        <v>152</v>
      </c>
      <c r="B41" s="356" t="s">
        <v>100</v>
      </c>
      <c r="C41" s="336">
        <f aca="true" t="shared" si="19" ref="C41:L41">SUM(C27+C28-C32-C36-C39)</f>
        <v>23429971</v>
      </c>
      <c r="D41" s="336">
        <f t="shared" si="19"/>
        <v>25599406</v>
      </c>
      <c r="E41" s="336">
        <f t="shared" si="19"/>
        <v>28748799</v>
      </c>
      <c r="F41" s="336">
        <f t="shared" si="19"/>
        <v>28778942</v>
      </c>
      <c r="G41" s="336">
        <f t="shared" si="19"/>
        <v>25325283</v>
      </c>
      <c r="H41" s="336">
        <f t="shared" si="19"/>
        <v>20717890</v>
      </c>
      <c r="I41" s="336">
        <f t="shared" si="19"/>
        <v>14821027</v>
      </c>
      <c r="J41" s="336">
        <f t="shared" si="19"/>
        <v>8812536</v>
      </c>
      <c r="K41" s="336">
        <f t="shared" si="19"/>
        <v>3812536</v>
      </c>
      <c r="L41" s="336">
        <f t="shared" si="19"/>
        <v>0</v>
      </c>
      <c r="M41" s="363">
        <f>SUM(M27+M28-M32-M36-M39)</f>
        <v>0</v>
      </c>
      <c r="N41" s="337">
        <f>SUM(N27,N28,-N31,-N39)</f>
        <v>240162</v>
      </c>
    </row>
    <row r="42" spans="1:14" s="357" customFormat="1" ht="51" customHeight="1">
      <c r="A42" s="745" t="s">
        <v>154</v>
      </c>
      <c r="B42" s="691" t="s">
        <v>101</v>
      </c>
      <c r="C42" s="336">
        <f>SUM(C32,C36,C40,C39,C34,C38)</f>
        <v>4550689</v>
      </c>
      <c r="D42" s="336">
        <f>SUM(D32,D36,D40,D39,D34,D38)</f>
        <v>5089284</v>
      </c>
      <c r="E42" s="336">
        <f aca="true" t="shared" si="20" ref="E42:L42">SUM(E32,E36,E40,E39,E34,E38)</f>
        <v>7092440</v>
      </c>
      <c r="F42" s="336">
        <f t="shared" si="20"/>
        <v>7058947</v>
      </c>
      <c r="G42" s="336">
        <f t="shared" si="20"/>
        <v>8346264</v>
      </c>
      <c r="H42" s="336">
        <f t="shared" si="20"/>
        <v>8534266</v>
      </c>
      <c r="I42" s="336">
        <f t="shared" si="20"/>
        <v>8385051</v>
      </c>
      <c r="J42" s="336">
        <f t="shared" si="20"/>
        <v>6769118</v>
      </c>
      <c r="K42" s="336">
        <f t="shared" si="20"/>
        <v>5339940</v>
      </c>
      <c r="L42" s="336">
        <f t="shared" si="20"/>
        <v>4037536</v>
      </c>
      <c r="M42" s="363">
        <f>SUM(M32,M36,M40,M39,M34,M38)</f>
        <v>0</v>
      </c>
      <c r="N42" s="337">
        <f>SUM(N31:N39,N22)</f>
        <v>3323008</v>
      </c>
    </row>
    <row r="43" spans="1:14" s="366" customFormat="1" ht="17.25" customHeight="1">
      <c r="A43" s="746"/>
      <c r="B43" s="693"/>
      <c r="C43" s="364">
        <f aca="true" t="shared" si="21" ref="C43:N43">C42/C11</f>
        <v>0.07709589936818549</v>
      </c>
      <c r="D43" s="364">
        <f t="shared" si="21"/>
        <v>0.07904865461307967</v>
      </c>
      <c r="E43" s="364">
        <f t="shared" si="21"/>
        <v>0.09843427049935832</v>
      </c>
      <c r="F43" s="364">
        <f t="shared" si="21"/>
        <v>0.10689728608028938</v>
      </c>
      <c r="G43" s="364">
        <f t="shared" si="21"/>
        <v>0.1235501396008764</v>
      </c>
      <c r="H43" s="364">
        <f t="shared" si="21"/>
        <v>0.123492807781072</v>
      </c>
      <c r="I43" s="364">
        <f t="shared" si="21"/>
        <v>0.11860570107615666</v>
      </c>
      <c r="J43" s="364">
        <f t="shared" si="21"/>
        <v>0.09359578836526322</v>
      </c>
      <c r="K43" s="364">
        <f t="shared" si="21"/>
        <v>0.072174695867417</v>
      </c>
      <c r="L43" s="364">
        <f t="shared" si="21"/>
        <v>0.053344464643888145</v>
      </c>
      <c r="M43" s="365">
        <f t="shared" si="21"/>
        <v>0</v>
      </c>
      <c r="N43" s="365">
        <f t="shared" si="21"/>
        <v>0.04166692745527933</v>
      </c>
    </row>
    <row r="44" spans="1:14" s="357" customFormat="1" ht="25.5" customHeight="1">
      <c r="A44" s="334" t="s">
        <v>154</v>
      </c>
      <c r="B44" s="356" t="s">
        <v>62</v>
      </c>
      <c r="C44" s="336">
        <f>SUM(C45:C46)</f>
        <v>23429971</v>
      </c>
      <c r="D44" s="336">
        <f aca="true" t="shared" si="22" ref="D44:K44">SUM(D45:D46)</f>
        <v>25599406</v>
      </c>
      <c r="E44" s="336">
        <f t="shared" si="22"/>
        <v>28748799</v>
      </c>
      <c r="F44" s="336">
        <f t="shared" si="22"/>
        <v>28778942</v>
      </c>
      <c r="G44" s="336">
        <f t="shared" si="22"/>
        <v>25325283</v>
      </c>
      <c r="H44" s="336">
        <f t="shared" si="22"/>
        <v>20717890</v>
      </c>
      <c r="I44" s="336">
        <f t="shared" si="22"/>
        <v>14821027</v>
      </c>
      <c r="J44" s="336">
        <f t="shared" si="22"/>
        <v>8812536</v>
      </c>
      <c r="K44" s="336">
        <f t="shared" si="22"/>
        <v>3812536</v>
      </c>
      <c r="L44" s="336">
        <f>SUM(L45:L46)</f>
        <v>0</v>
      </c>
      <c r="M44" s="363">
        <f>SUM(M45:M46)</f>
        <v>0</v>
      </c>
      <c r="N44" s="337">
        <f>SUM(N45:N46)</f>
        <v>240162</v>
      </c>
    </row>
    <row r="45" spans="1:14" s="359" customFormat="1" ht="15" customHeight="1" hidden="1">
      <c r="A45" s="339">
        <v>1</v>
      </c>
      <c r="B45" s="349" t="s">
        <v>102</v>
      </c>
      <c r="C45" s="360">
        <v>21429971</v>
      </c>
      <c r="D45" s="154">
        <f aca="true" t="shared" si="23" ref="D45:L45">C45+D28-D32-D36</f>
        <v>25599406</v>
      </c>
      <c r="E45" s="154">
        <f t="shared" si="23"/>
        <v>28748799</v>
      </c>
      <c r="F45" s="154">
        <f t="shared" si="23"/>
        <v>28778942</v>
      </c>
      <c r="G45" s="154">
        <f t="shared" si="23"/>
        <v>25325283</v>
      </c>
      <c r="H45" s="154">
        <f t="shared" si="23"/>
        <v>20717890</v>
      </c>
      <c r="I45" s="154">
        <f t="shared" si="23"/>
        <v>14821027</v>
      </c>
      <c r="J45" s="154">
        <f t="shared" si="23"/>
        <v>8812536</v>
      </c>
      <c r="K45" s="154">
        <f t="shared" si="23"/>
        <v>3812536</v>
      </c>
      <c r="L45" s="154">
        <f t="shared" si="23"/>
        <v>0</v>
      </c>
      <c r="M45" s="456">
        <f>L45+M28-M32-M36</f>
        <v>0</v>
      </c>
      <c r="N45" s="337">
        <f>M45+N28-N31</f>
        <v>1240162</v>
      </c>
    </row>
    <row r="46" spans="1:14" s="359" customFormat="1" ht="15" customHeight="1" hidden="1">
      <c r="A46" s="339">
        <v>2</v>
      </c>
      <c r="B46" s="349" t="s">
        <v>98</v>
      </c>
      <c r="C46" s="360">
        <v>2000000</v>
      </c>
      <c r="D46" s="154">
        <f aca="true" t="shared" si="24" ref="D46:L46">C46-D39</f>
        <v>0</v>
      </c>
      <c r="E46" s="154">
        <f t="shared" si="24"/>
        <v>0</v>
      </c>
      <c r="F46" s="154">
        <f t="shared" si="24"/>
        <v>0</v>
      </c>
      <c r="G46" s="154">
        <f t="shared" si="24"/>
        <v>0</v>
      </c>
      <c r="H46" s="154">
        <f t="shared" si="24"/>
        <v>0</v>
      </c>
      <c r="I46" s="154">
        <f t="shared" si="24"/>
        <v>0</v>
      </c>
      <c r="J46" s="154">
        <f t="shared" si="24"/>
        <v>0</v>
      </c>
      <c r="K46" s="154">
        <f t="shared" si="24"/>
        <v>0</v>
      </c>
      <c r="L46" s="154">
        <f t="shared" si="24"/>
        <v>0</v>
      </c>
      <c r="M46" s="456">
        <f>L46-M39</f>
        <v>0</v>
      </c>
      <c r="N46" s="337">
        <f>M46-N39</f>
        <v>-1000000</v>
      </c>
    </row>
    <row r="47" spans="1:14" s="368" customFormat="1" ht="51">
      <c r="A47" s="367" t="s">
        <v>112</v>
      </c>
      <c r="B47" s="341" t="s">
        <v>63</v>
      </c>
      <c r="C47" s="301">
        <v>0</v>
      </c>
      <c r="D47" s="301">
        <v>0</v>
      </c>
      <c r="E47" s="301">
        <v>0</v>
      </c>
      <c r="F47" s="301">
        <v>0</v>
      </c>
      <c r="G47" s="301">
        <v>0</v>
      </c>
      <c r="H47" s="301">
        <v>0</v>
      </c>
      <c r="I47" s="301">
        <v>0</v>
      </c>
      <c r="J47" s="301">
        <v>0</v>
      </c>
      <c r="K47" s="301">
        <v>0</v>
      </c>
      <c r="L47" s="301">
        <v>0</v>
      </c>
      <c r="M47" s="457">
        <v>0</v>
      </c>
      <c r="N47" s="350"/>
    </row>
    <row r="48" spans="1:14" s="371" customFormat="1" ht="21" customHeight="1">
      <c r="A48" s="348" t="s">
        <v>367</v>
      </c>
      <c r="B48" s="356" t="s">
        <v>320</v>
      </c>
      <c r="C48" s="369">
        <f aca="true" t="shared" si="25" ref="C48:L48">C44/C11</f>
        <v>0.39694092178470214</v>
      </c>
      <c r="D48" s="369">
        <f t="shared" si="25"/>
        <v>0.397619508597673</v>
      </c>
      <c r="E48" s="369">
        <f t="shared" si="25"/>
        <v>0.3989976731981775</v>
      </c>
      <c r="F48" s="369">
        <f t="shared" si="25"/>
        <v>0.43581440632180063</v>
      </c>
      <c r="G48" s="369">
        <f t="shared" si="25"/>
        <v>0.3748913585865127</v>
      </c>
      <c r="H48" s="369">
        <f t="shared" si="25"/>
        <v>0.29979267196492276</v>
      </c>
      <c r="I48" s="369">
        <f t="shared" si="25"/>
        <v>0.20964193276864349</v>
      </c>
      <c r="J48" s="369">
        <f t="shared" si="25"/>
        <v>0.12184988567450933</v>
      </c>
      <c r="K48" s="369">
        <f t="shared" si="25"/>
        <v>0.05153028428850859</v>
      </c>
      <c r="L48" s="369">
        <f t="shared" si="25"/>
        <v>0</v>
      </c>
      <c r="M48" s="370">
        <f>M44/M11</f>
        <v>0</v>
      </c>
      <c r="N48" s="370">
        <f>N44/N11</f>
        <v>0.003011371814787925</v>
      </c>
    </row>
    <row r="49" spans="1:14" s="374" customFormat="1" ht="25.5">
      <c r="A49" s="348" t="s">
        <v>368</v>
      </c>
      <c r="B49" s="356" t="s">
        <v>321</v>
      </c>
      <c r="C49" s="372">
        <f aca="true" t="shared" si="26" ref="C49:L49">(C42/C11)</f>
        <v>0.07709589936818549</v>
      </c>
      <c r="D49" s="372">
        <f t="shared" si="26"/>
        <v>0.07904865461307967</v>
      </c>
      <c r="E49" s="372">
        <f t="shared" si="26"/>
        <v>0.09843427049935832</v>
      </c>
      <c r="F49" s="372">
        <f t="shared" si="26"/>
        <v>0.10689728608028938</v>
      </c>
      <c r="G49" s="372">
        <f t="shared" si="26"/>
        <v>0.1235501396008764</v>
      </c>
      <c r="H49" s="372">
        <f t="shared" si="26"/>
        <v>0.123492807781072</v>
      </c>
      <c r="I49" s="372">
        <f t="shared" si="26"/>
        <v>0.11860570107615666</v>
      </c>
      <c r="J49" s="372">
        <f t="shared" si="26"/>
        <v>0.09359578836526322</v>
      </c>
      <c r="K49" s="372">
        <f t="shared" si="26"/>
        <v>0.072174695867417</v>
      </c>
      <c r="L49" s="372">
        <f t="shared" si="26"/>
        <v>0.053344464643888145</v>
      </c>
      <c r="M49" s="373">
        <f>(M42/M11)</f>
        <v>0</v>
      </c>
      <c r="N49" s="373"/>
    </row>
    <row r="50" spans="1:14" s="54" customFormat="1" ht="17.25" customHeight="1">
      <c r="A50" s="348" t="s">
        <v>369</v>
      </c>
      <c r="B50" s="356" t="s">
        <v>322</v>
      </c>
      <c r="C50" s="372">
        <f aca="true" t="shared" si="27" ref="C50:L50">C44/C11</f>
        <v>0.39694092178470214</v>
      </c>
      <c r="D50" s="372">
        <f t="shared" si="27"/>
        <v>0.397619508597673</v>
      </c>
      <c r="E50" s="372">
        <f t="shared" si="27"/>
        <v>0.3989976731981775</v>
      </c>
      <c r="F50" s="372">
        <f t="shared" si="27"/>
        <v>0.43581440632180063</v>
      </c>
      <c r="G50" s="372">
        <f t="shared" si="27"/>
        <v>0.3748913585865127</v>
      </c>
      <c r="H50" s="372">
        <f t="shared" si="27"/>
        <v>0.29979267196492276</v>
      </c>
      <c r="I50" s="372">
        <f t="shared" si="27"/>
        <v>0.20964193276864349</v>
      </c>
      <c r="J50" s="372">
        <f t="shared" si="27"/>
        <v>0.12184988567450933</v>
      </c>
      <c r="K50" s="372">
        <f t="shared" si="27"/>
        <v>0.05153028428850859</v>
      </c>
      <c r="L50" s="372">
        <f t="shared" si="27"/>
        <v>0</v>
      </c>
      <c r="M50" s="373">
        <f>M44/M11</f>
        <v>0</v>
      </c>
      <c r="N50" s="373"/>
    </row>
    <row r="51" spans="1:14" s="54" customFormat="1" ht="24.75" customHeight="1">
      <c r="A51" s="348" t="s">
        <v>370</v>
      </c>
      <c r="B51" s="356" t="s">
        <v>323</v>
      </c>
      <c r="C51" s="372">
        <f aca="true" t="shared" si="28" ref="C51:L51">C42/C11</f>
        <v>0.07709589936818549</v>
      </c>
      <c r="D51" s="372">
        <f t="shared" si="28"/>
        <v>0.07904865461307967</v>
      </c>
      <c r="E51" s="372">
        <f t="shared" si="28"/>
        <v>0.09843427049935832</v>
      </c>
      <c r="F51" s="372">
        <f t="shared" si="28"/>
        <v>0.10689728608028938</v>
      </c>
      <c r="G51" s="372">
        <f t="shared" si="28"/>
        <v>0.1235501396008764</v>
      </c>
      <c r="H51" s="372">
        <f t="shared" si="28"/>
        <v>0.123492807781072</v>
      </c>
      <c r="I51" s="372">
        <f t="shared" si="28"/>
        <v>0.11860570107615666</v>
      </c>
      <c r="J51" s="372">
        <f t="shared" si="28"/>
        <v>0.09359578836526322</v>
      </c>
      <c r="K51" s="372">
        <f t="shared" si="28"/>
        <v>0.072174695867417</v>
      </c>
      <c r="L51" s="372">
        <f t="shared" si="28"/>
        <v>0.053344464643888145</v>
      </c>
      <c r="M51" s="373">
        <f>M42/M11</f>
        <v>0</v>
      </c>
      <c r="N51" s="373"/>
    </row>
    <row r="52" spans="1:13" ht="12.75">
      <c r="A52" s="49"/>
      <c r="D52" s="43"/>
      <c r="E52" s="43"/>
      <c r="F52" s="76"/>
      <c r="G52" s="49"/>
      <c r="H52" s="43"/>
      <c r="I52" s="43"/>
      <c r="J52" s="43"/>
      <c r="K52" s="43"/>
      <c r="L52" s="76"/>
      <c r="M52" s="49"/>
    </row>
    <row r="53" spans="1:14" ht="12.75" hidden="1">
      <c r="A53" s="49"/>
      <c r="D53" s="43"/>
      <c r="E53" s="43">
        <f>E41*5%</f>
        <v>1437439.9500000002</v>
      </c>
      <c r="F53" s="43">
        <f aca="true" t="shared" si="29" ref="F53:N53">F41*5%</f>
        <v>1438947.1</v>
      </c>
      <c r="G53" s="43">
        <f t="shared" si="29"/>
        <v>1266264.1500000001</v>
      </c>
      <c r="H53" s="43">
        <f t="shared" si="29"/>
        <v>1035894.5</v>
      </c>
      <c r="I53" s="43">
        <f t="shared" si="29"/>
        <v>741051.3500000001</v>
      </c>
      <c r="J53" s="43">
        <f t="shared" si="29"/>
        <v>440626.80000000005</v>
      </c>
      <c r="K53" s="43">
        <f t="shared" si="29"/>
        <v>190626.80000000002</v>
      </c>
      <c r="L53" s="43">
        <f t="shared" si="29"/>
        <v>0</v>
      </c>
      <c r="M53" s="43">
        <f t="shared" si="29"/>
        <v>0</v>
      </c>
      <c r="N53" s="109">
        <f t="shared" si="29"/>
        <v>12008.1</v>
      </c>
    </row>
    <row r="54" spans="1:13" ht="12.75">
      <c r="A54" s="49"/>
      <c r="D54" s="43"/>
      <c r="E54" s="43"/>
      <c r="F54" s="76"/>
      <c r="G54" s="49"/>
      <c r="H54" s="43"/>
      <c r="I54" s="43"/>
      <c r="J54" s="43"/>
      <c r="K54" s="43"/>
      <c r="L54" s="76"/>
      <c r="M54" s="49"/>
    </row>
    <row r="55" spans="1:13" ht="12.75">
      <c r="A55" s="49"/>
      <c r="D55" s="43"/>
      <c r="E55" s="43"/>
      <c r="F55" s="76"/>
      <c r="G55" s="49"/>
      <c r="H55" s="43"/>
      <c r="I55" s="43"/>
      <c r="J55" s="43"/>
      <c r="K55" s="43"/>
      <c r="L55" s="76"/>
      <c r="M55" s="49"/>
    </row>
    <row r="56" spans="1:13" ht="12.75">
      <c r="A56" s="49"/>
      <c r="D56" s="43"/>
      <c r="E56" s="43"/>
      <c r="F56" s="76"/>
      <c r="G56" s="49"/>
      <c r="H56" s="43"/>
      <c r="I56" s="43"/>
      <c r="J56" s="43"/>
      <c r="K56" s="43"/>
      <c r="L56" s="76"/>
      <c r="M56" s="49"/>
    </row>
    <row r="57" spans="4:13" ht="12.75">
      <c r="D57" s="43"/>
      <c r="E57" s="43"/>
      <c r="F57" s="76"/>
      <c r="G57" s="43"/>
      <c r="H57" s="43"/>
      <c r="I57" s="43"/>
      <c r="J57" s="43"/>
      <c r="K57" s="43"/>
      <c r="L57" s="76"/>
      <c r="M57" s="43"/>
    </row>
    <row r="58" spans="4:13" ht="12.75">
      <c r="D58" s="43"/>
      <c r="E58" s="43"/>
      <c r="F58" s="76"/>
      <c r="G58" s="43"/>
      <c r="H58" s="43"/>
      <c r="I58" s="43"/>
      <c r="J58" s="43"/>
      <c r="K58" s="43"/>
      <c r="L58" s="76"/>
      <c r="M58" s="43"/>
    </row>
    <row r="59" spans="4:13" ht="12.75">
      <c r="D59" s="43"/>
      <c r="E59" s="43"/>
      <c r="F59" s="76"/>
      <c r="G59" s="43"/>
      <c r="H59" s="43"/>
      <c r="I59" s="43"/>
      <c r="J59" s="43"/>
      <c r="K59" s="43"/>
      <c r="L59" s="76"/>
      <c r="M59" s="43"/>
    </row>
    <row r="60" spans="4:13" ht="12.75">
      <c r="D60" s="43"/>
      <c r="E60" s="43"/>
      <c r="F60" s="76"/>
      <c r="G60" s="43"/>
      <c r="H60" s="43"/>
      <c r="I60" s="43"/>
      <c r="J60" s="43"/>
      <c r="K60" s="43"/>
      <c r="L60" s="76"/>
      <c r="M60" s="43"/>
    </row>
    <row r="61" spans="4:13" ht="12.75">
      <c r="D61" s="43"/>
      <c r="E61" s="43"/>
      <c r="F61" s="76"/>
      <c r="G61" s="43"/>
      <c r="H61" s="43"/>
      <c r="I61" s="43"/>
      <c r="J61" s="43"/>
      <c r="K61" s="43"/>
      <c r="L61" s="76"/>
      <c r="M61" s="43"/>
    </row>
    <row r="62" spans="4:13" ht="12.75"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4:13" ht="12.75"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4:13" ht="12.75"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4:13" ht="12.75"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4:13" ht="12.75"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4:13" ht="12.75"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4:13" ht="12.75">
      <c r="D68" s="43"/>
      <c r="E68" s="43"/>
      <c r="F68" s="43"/>
      <c r="G68" s="43"/>
      <c r="H68" s="43"/>
      <c r="I68" s="43"/>
      <c r="J68" s="43"/>
      <c r="K68" s="43"/>
      <c r="L68" s="43"/>
      <c r="M68" s="43"/>
    </row>
    <row r="69" spans="4:13" ht="12.75">
      <c r="D69" s="43"/>
      <c r="E69" s="43"/>
      <c r="F69" s="43"/>
      <c r="G69" s="43"/>
      <c r="H69" s="43"/>
      <c r="I69" s="43"/>
      <c r="J69" s="43"/>
      <c r="K69" s="43"/>
      <c r="L69" s="43"/>
      <c r="M69" s="43"/>
    </row>
    <row r="70" spans="4:13" ht="12.75">
      <c r="D70" s="43"/>
      <c r="E70" s="43"/>
      <c r="F70" s="43"/>
      <c r="G70" s="43"/>
      <c r="H70" s="43"/>
      <c r="I70" s="43"/>
      <c r="J70" s="43"/>
      <c r="K70" s="43"/>
      <c r="L70" s="43"/>
      <c r="M70" s="43"/>
    </row>
    <row r="71" spans="4:13" ht="12.75"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4:13" ht="12.75"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4:13" ht="12.75">
      <c r="D73" s="43"/>
      <c r="E73" s="43"/>
      <c r="F73" s="43"/>
      <c r="G73" s="43"/>
      <c r="H73" s="43"/>
      <c r="I73" s="43"/>
      <c r="J73" s="43"/>
      <c r="K73" s="43"/>
      <c r="L73" s="43"/>
      <c r="M73" s="43"/>
    </row>
    <row r="74" spans="4:13" ht="12.75">
      <c r="D74" s="43"/>
      <c r="E74" s="43"/>
      <c r="F74" s="43"/>
      <c r="G74" s="43"/>
      <c r="H74" s="43"/>
      <c r="I74" s="43"/>
      <c r="J74" s="43"/>
      <c r="K74" s="43"/>
      <c r="L74" s="43"/>
      <c r="M74" s="43"/>
    </row>
    <row r="75" spans="4:13" ht="12.75">
      <c r="D75" s="43"/>
      <c r="E75" s="43"/>
      <c r="F75" s="43"/>
      <c r="G75" s="43"/>
      <c r="H75" s="43"/>
      <c r="I75" s="43"/>
      <c r="J75" s="43"/>
      <c r="K75" s="43"/>
      <c r="L75" s="43"/>
      <c r="M75" s="43"/>
    </row>
    <row r="76" spans="4:13" ht="12.75">
      <c r="D76" s="43"/>
      <c r="E76" s="43"/>
      <c r="F76" s="43"/>
      <c r="G76" s="43"/>
      <c r="H76" s="43"/>
      <c r="I76" s="43"/>
      <c r="J76" s="43"/>
      <c r="K76" s="43"/>
      <c r="L76" s="43"/>
      <c r="M76" s="43"/>
    </row>
  </sheetData>
  <mergeCells count="5">
    <mergeCell ref="G7:J7"/>
    <mergeCell ref="K7:N7"/>
    <mergeCell ref="A42:A43"/>
    <mergeCell ref="B42:B43"/>
    <mergeCell ref="C7:C8"/>
  </mergeCells>
  <printOptions/>
  <pageMargins left="0.71" right="0.32" top="0.27" bottom="0.74" header="0.89" footer="0.34"/>
  <pageSetup horizontalDpi="600" verticalDpi="600" orientation="portrait" paperSize="9" scale="93" r:id="rId1"/>
  <headerFooter alignWithMargins="0">
    <oddHeader>&amp;C&amp;"Arial CE,Pogrubiony"&amp;14Prognozowana sytuacja finansowa powiatu w latach spłaty długu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workbookViewId="0" topLeftCell="A1">
      <selection activeCell="C26" sqref="C26"/>
    </sheetView>
  </sheetViews>
  <sheetFormatPr defaultColWidth="9.00390625" defaultRowHeight="12.75"/>
  <cols>
    <col min="1" max="1" width="5.00390625" style="43" customWidth="1"/>
    <col min="2" max="2" width="6.75390625" style="43" customWidth="1"/>
    <col min="3" max="3" width="31.00390625" style="43" customWidth="1"/>
    <col min="4" max="4" width="8.00390625" style="49" hidden="1" customWidth="1"/>
    <col min="5" max="5" width="12.25390625" style="43" customWidth="1"/>
    <col min="6" max="6" width="11.625" style="43" hidden="1" customWidth="1"/>
    <col min="7" max="7" width="12.125" style="43" hidden="1" customWidth="1"/>
    <col min="8" max="8" width="14.125" style="47" customWidth="1"/>
    <col min="9" max="9" width="10.00390625" style="43" customWidth="1"/>
    <col min="10" max="10" width="9.625" style="43" customWidth="1"/>
    <col min="11" max="11" width="2.875" style="43" customWidth="1"/>
    <col min="12" max="12" width="11.375" style="43" customWidth="1"/>
    <col min="13" max="13" width="14.375" style="43" customWidth="1"/>
    <col min="14" max="14" width="10.00390625" style="43" hidden="1" customWidth="1"/>
    <col min="15" max="15" width="12.00390625" style="43" customWidth="1"/>
    <col min="16" max="16" width="12.375" style="43" customWidth="1"/>
    <col min="17" max="17" width="13.00390625" style="43" customWidth="1"/>
    <col min="18" max="16384" width="9.125" style="43" customWidth="1"/>
  </cols>
  <sheetData>
    <row r="1" spans="13:17" ht="16.5" customHeight="1">
      <c r="M1" s="45"/>
      <c r="N1" s="45"/>
      <c r="O1" s="45"/>
      <c r="P1" s="45"/>
      <c r="Q1" s="414" t="s">
        <v>262</v>
      </c>
    </row>
    <row r="2" spans="13:17" ht="15" customHeight="1">
      <c r="M2" s="44"/>
      <c r="N2" s="44"/>
      <c r="O2" s="44"/>
      <c r="P2" s="44"/>
      <c r="Q2" s="44" t="s">
        <v>506</v>
      </c>
    </row>
    <row r="3" spans="13:17" ht="12" customHeight="1">
      <c r="M3" s="44"/>
      <c r="N3" s="44"/>
      <c r="O3" s="44"/>
      <c r="P3" s="44"/>
      <c r="Q3" s="44" t="s">
        <v>504</v>
      </c>
    </row>
    <row r="4" spans="14:16" ht="3.75" customHeight="1">
      <c r="N4" s="17"/>
      <c r="O4" s="17"/>
      <c r="P4" s="25"/>
    </row>
    <row r="5" spans="14:16" ht="1.5" customHeight="1">
      <c r="N5" s="17"/>
      <c r="O5" s="17"/>
      <c r="P5" s="25"/>
    </row>
    <row r="6" spans="14:16" ht="16.5" customHeight="1" hidden="1">
      <c r="N6" s="17"/>
      <c r="O6" s="17"/>
      <c r="P6" s="25"/>
    </row>
    <row r="7" spans="1:17" s="54" customFormat="1" ht="3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</row>
    <row r="8" spans="1:17" s="54" customFormat="1" ht="15" customHeight="1">
      <c r="A8" s="572" t="s">
        <v>363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</row>
    <row r="9" ht="15" customHeight="1">
      <c r="Q9" s="56" t="s">
        <v>160</v>
      </c>
    </row>
    <row r="10" spans="1:17" ht="12.75">
      <c r="A10" s="573" t="s">
        <v>105</v>
      </c>
      <c r="B10" s="573" t="s">
        <v>106</v>
      </c>
      <c r="C10" s="573" t="s">
        <v>38</v>
      </c>
      <c r="D10" s="573" t="s">
        <v>235</v>
      </c>
      <c r="E10" s="573" t="s">
        <v>39</v>
      </c>
      <c r="F10" s="573" t="s">
        <v>236</v>
      </c>
      <c r="G10" s="573" t="s">
        <v>237</v>
      </c>
      <c r="H10" s="566" t="s">
        <v>46</v>
      </c>
      <c r="I10" s="567"/>
      <c r="J10" s="567"/>
      <c r="K10" s="567"/>
      <c r="L10" s="567"/>
      <c r="M10" s="567"/>
      <c r="N10" s="567"/>
      <c r="O10" s="567"/>
      <c r="P10" s="567"/>
      <c r="Q10" s="573" t="s">
        <v>238</v>
      </c>
    </row>
    <row r="11" spans="1:17" ht="12.75">
      <c r="A11" s="574"/>
      <c r="B11" s="574"/>
      <c r="C11" s="574"/>
      <c r="D11" s="565"/>
      <c r="E11" s="574"/>
      <c r="F11" s="574"/>
      <c r="G11" s="574"/>
      <c r="H11" s="573" t="s">
        <v>348</v>
      </c>
      <c r="I11" s="573" t="s">
        <v>47</v>
      </c>
      <c r="J11" s="568"/>
      <c r="K11" s="568"/>
      <c r="L11" s="568"/>
      <c r="M11" s="568"/>
      <c r="N11" s="573" t="s">
        <v>239</v>
      </c>
      <c r="O11" s="573" t="s">
        <v>37</v>
      </c>
      <c r="P11" s="573" t="s">
        <v>349</v>
      </c>
      <c r="Q11" s="565"/>
    </row>
    <row r="12" spans="1:17" ht="48">
      <c r="A12" s="574"/>
      <c r="B12" s="574"/>
      <c r="C12" s="574"/>
      <c r="D12" s="565"/>
      <c r="E12" s="574"/>
      <c r="F12" s="574"/>
      <c r="G12" s="574"/>
      <c r="H12" s="573"/>
      <c r="I12" s="163" t="s">
        <v>43</v>
      </c>
      <c r="J12" s="163" t="s">
        <v>240</v>
      </c>
      <c r="K12" s="569" t="s">
        <v>44</v>
      </c>
      <c r="L12" s="570"/>
      <c r="M12" s="163" t="s">
        <v>45</v>
      </c>
      <c r="N12" s="573"/>
      <c r="O12" s="573"/>
      <c r="P12" s="573"/>
      <c r="Q12" s="565"/>
    </row>
    <row r="13" spans="1:17" ht="12.75">
      <c r="A13" s="75" t="s">
        <v>112</v>
      </c>
      <c r="B13" s="75" t="s">
        <v>113</v>
      </c>
      <c r="C13" s="75" t="s">
        <v>114</v>
      </c>
      <c r="D13" s="75" t="s">
        <v>104</v>
      </c>
      <c r="E13" s="75" t="s">
        <v>104</v>
      </c>
      <c r="F13" s="75" t="s">
        <v>118</v>
      </c>
      <c r="G13" s="75" t="s">
        <v>122</v>
      </c>
      <c r="H13" s="75" t="s">
        <v>118</v>
      </c>
      <c r="I13" s="75" t="s">
        <v>122</v>
      </c>
      <c r="J13" s="75" t="s">
        <v>130</v>
      </c>
      <c r="K13" s="552" t="s">
        <v>133</v>
      </c>
      <c r="L13" s="553"/>
      <c r="M13" s="75" t="s">
        <v>182</v>
      </c>
      <c r="N13" s="75" t="s">
        <v>184</v>
      </c>
      <c r="O13" s="75" t="s">
        <v>184</v>
      </c>
      <c r="P13" s="75" t="s">
        <v>40</v>
      </c>
      <c r="Q13" s="75" t="s">
        <v>41</v>
      </c>
    </row>
    <row r="14" spans="1:17" ht="15">
      <c r="A14" s="233">
        <v>600</v>
      </c>
      <c r="B14" s="233">
        <v>60014</v>
      </c>
      <c r="C14" s="26" t="s">
        <v>193</v>
      </c>
      <c r="D14" s="174"/>
      <c r="E14" s="234">
        <f>SUM(E15:E26)</f>
        <v>32725299</v>
      </c>
      <c r="F14" s="234">
        <f>SUM(F21:F26)</f>
        <v>0</v>
      </c>
      <c r="G14" s="234">
        <f>SUM(G21:G26)</f>
        <v>0</v>
      </c>
      <c r="H14" s="234">
        <f>SUM(H15:H26)</f>
        <v>3734360</v>
      </c>
      <c r="I14" s="234">
        <f>SUM(I21:I26)</f>
        <v>300000</v>
      </c>
      <c r="J14" s="234">
        <f>SUM(J15:J26)</f>
        <v>563500</v>
      </c>
      <c r="K14" s="554">
        <f>SUM(L24:L26)</f>
        <v>1008980</v>
      </c>
      <c r="L14" s="555"/>
      <c r="M14" s="234">
        <f>SUM(M24:M26)</f>
        <v>1861880</v>
      </c>
      <c r="N14" s="234">
        <f>SUM(N21:N23)</f>
        <v>0</v>
      </c>
      <c r="O14" s="234">
        <f>SUM(O15:O26)</f>
        <v>12201941</v>
      </c>
      <c r="P14" s="234">
        <f>SUM(P15:P26)</f>
        <v>2765000</v>
      </c>
      <c r="Q14" s="26"/>
    </row>
    <row r="15" spans="1:17" ht="12.75">
      <c r="A15" s="492"/>
      <c r="B15" s="239"/>
      <c r="C15" s="556" t="s">
        <v>8</v>
      </c>
      <c r="D15" s="559"/>
      <c r="E15" s="578">
        <v>270000</v>
      </c>
      <c r="F15" s="606"/>
      <c r="G15" s="606"/>
      <c r="H15" s="578">
        <f>SUM(I15:L17)</f>
        <v>75000</v>
      </c>
      <c r="I15" s="578">
        <v>0</v>
      </c>
      <c r="J15" s="547">
        <f>50000+25000</f>
        <v>75000</v>
      </c>
      <c r="K15" s="550">
        <v>0</v>
      </c>
      <c r="L15" s="551"/>
      <c r="M15" s="600">
        <v>0</v>
      </c>
      <c r="N15" s="578"/>
      <c r="O15" s="578">
        <v>69833</v>
      </c>
      <c r="P15" s="578">
        <v>0</v>
      </c>
      <c r="Q15" s="575" t="s">
        <v>177</v>
      </c>
    </row>
    <row r="16" spans="1:17" ht="12.75">
      <c r="A16" s="120"/>
      <c r="B16" s="121"/>
      <c r="C16" s="557"/>
      <c r="D16" s="560"/>
      <c r="E16" s="579"/>
      <c r="F16" s="607"/>
      <c r="G16" s="607"/>
      <c r="H16" s="579"/>
      <c r="I16" s="579"/>
      <c r="J16" s="548"/>
      <c r="K16" s="596"/>
      <c r="L16" s="597"/>
      <c r="M16" s="601"/>
      <c r="N16" s="579"/>
      <c r="O16" s="579"/>
      <c r="P16" s="579"/>
      <c r="Q16" s="576"/>
    </row>
    <row r="17" spans="1:17" ht="27" customHeight="1">
      <c r="A17" s="120"/>
      <c r="B17" s="121"/>
      <c r="C17" s="558"/>
      <c r="D17" s="561"/>
      <c r="E17" s="580"/>
      <c r="F17" s="608"/>
      <c r="G17" s="608"/>
      <c r="H17" s="580"/>
      <c r="I17" s="580"/>
      <c r="J17" s="549"/>
      <c r="K17" s="598"/>
      <c r="L17" s="599"/>
      <c r="M17" s="602"/>
      <c r="N17" s="580"/>
      <c r="O17" s="580"/>
      <c r="P17" s="580"/>
      <c r="Q17" s="576"/>
    </row>
    <row r="18" spans="1:17" ht="12.75">
      <c r="A18" s="120"/>
      <c r="B18" s="121"/>
      <c r="C18" s="556" t="s">
        <v>371</v>
      </c>
      <c r="D18" s="559"/>
      <c r="E18" s="578">
        <v>2890720</v>
      </c>
      <c r="F18" s="562"/>
      <c r="G18" s="562"/>
      <c r="H18" s="578">
        <f>SUM(I18:L20)</f>
        <v>100000</v>
      </c>
      <c r="I18" s="578">
        <v>0</v>
      </c>
      <c r="J18" s="547">
        <v>100000</v>
      </c>
      <c r="K18" s="550">
        <v>0</v>
      </c>
      <c r="L18" s="551"/>
      <c r="M18" s="600">
        <v>0</v>
      </c>
      <c r="N18" s="578"/>
      <c r="O18" s="578">
        <v>930000</v>
      </c>
      <c r="P18" s="578">
        <v>930000</v>
      </c>
      <c r="Q18" s="576"/>
    </row>
    <row r="19" spans="1:17" ht="12.75">
      <c r="A19" s="120"/>
      <c r="B19" s="121"/>
      <c r="C19" s="557"/>
      <c r="D19" s="560"/>
      <c r="E19" s="579"/>
      <c r="F19" s="563"/>
      <c r="G19" s="563"/>
      <c r="H19" s="579"/>
      <c r="I19" s="579"/>
      <c r="J19" s="548"/>
      <c r="K19" s="596"/>
      <c r="L19" s="597"/>
      <c r="M19" s="601"/>
      <c r="N19" s="579"/>
      <c r="O19" s="579"/>
      <c r="P19" s="579"/>
      <c r="Q19" s="576"/>
    </row>
    <row r="20" spans="1:17" ht="12.75" customHeight="1">
      <c r="A20" s="120"/>
      <c r="B20" s="121"/>
      <c r="C20" s="558"/>
      <c r="D20" s="561"/>
      <c r="E20" s="580"/>
      <c r="F20" s="564"/>
      <c r="G20" s="564"/>
      <c r="H20" s="580"/>
      <c r="I20" s="580"/>
      <c r="J20" s="549"/>
      <c r="K20" s="598"/>
      <c r="L20" s="599"/>
      <c r="M20" s="602"/>
      <c r="N20" s="580"/>
      <c r="O20" s="580"/>
      <c r="P20" s="580"/>
      <c r="Q20" s="576"/>
    </row>
    <row r="21" spans="1:17" ht="12.75">
      <c r="A21" s="120"/>
      <c r="B21" s="121"/>
      <c r="C21" s="556" t="s">
        <v>343</v>
      </c>
      <c r="D21" s="603"/>
      <c r="E21" s="578">
        <v>15067412</v>
      </c>
      <c r="F21" s="606"/>
      <c r="G21" s="606"/>
      <c r="H21" s="578">
        <f>SUM(J21)</f>
        <v>388500</v>
      </c>
      <c r="I21" s="578">
        <v>0</v>
      </c>
      <c r="J21" s="547">
        <v>388500</v>
      </c>
      <c r="K21" s="550">
        <v>0</v>
      </c>
      <c r="L21" s="551"/>
      <c r="M21" s="600">
        <v>0</v>
      </c>
      <c r="N21" s="578"/>
      <c r="O21" s="578">
        <v>0</v>
      </c>
      <c r="P21" s="578">
        <v>1835000</v>
      </c>
      <c r="Q21" s="576"/>
    </row>
    <row r="22" spans="1:17" ht="12.75">
      <c r="A22" s="120"/>
      <c r="B22" s="121"/>
      <c r="C22" s="557"/>
      <c r="D22" s="604"/>
      <c r="E22" s="579"/>
      <c r="F22" s="607"/>
      <c r="G22" s="607"/>
      <c r="H22" s="579"/>
      <c r="I22" s="579"/>
      <c r="J22" s="548"/>
      <c r="K22" s="596"/>
      <c r="L22" s="597"/>
      <c r="M22" s="601"/>
      <c r="N22" s="579"/>
      <c r="O22" s="579"/>
      <c r="P22" s="579"/>
      <c r="Q22" s="576"/>
    </row>
    <row r="23" spans="1:17" ht="24.75" customHeight="1">
      <c r="A23" s="120"/>
      <c r="B23" s="121"/>
      <c r="C23" s="558"/>
      <c r="D23" s="605"/>
      <c r="E23" s="580"/>
      <c r="F23" s="608"/>
      <c r="G23" s="608"/>
      <c r="H23" s="580"/>
      <c r="I23" s="580"/>
      <c r="J23" s="549"/>
      <c r="K23" s="598"/>
      <c r="L23" s="599"/>
      <c r="M23" s="602"/>
      <c r="N23" s="580"/>
      <c r="O23" s="580"/>
      <c r="P23" s="580"/>
      <c r="Q23" s="576"/>
    </row>
    <row r="24" spans="1:17" ht="38.25">
      <c r="A24" s="120"/>
      <c r="B24" s="121"/>
      <c r="C24" s="235" t="s">
        <v>347</v>
      </c>
      <c r="D24" s="506"/>
      <c r="E24" s="545">
        <v>5552030</v>
      </c>
      <c r="F24" s="157"/>
      <c r="G24" s="157"/>
      <c r="H24" s="236">
        <f>SUM(I24,L24,M24)</f>
        <v>2611880</v>
      </c>
      <c r="I24" s="217">
        <v>300000</v>
      </c>
      <c r="J24" s="217">
        <v>0</v>
      </c>
      <c r="K24" s="404" t="s">
        <v>340</v>
      </c>
      <c r="L24" s="404">
        <v>450000</v>
      </c>
      <c r="M24" s="541">
        <v>1861880</v>
      </c>
      <c r="N24" s="236"/>
      <c r="O24" s="236">
        <v>2825164</v>
      </c>
      <c r="P24" s="236">
        <v>0</v>
      </c>
      <c r="Q24" s="576"/>
    </row>
    <row r="25" spans="1:17" ht="57" customHeight="1">
      <c r="A25" s="120"/>
      <c r="B25" s="121"/>
      <c r="C25" s="502" t="s">
        <v>494</v>
      </c>
      <c r="D25" s="507"/>
      <c r="E25" s="546">
        <v>4223548</v>
      </c>
      <c r="F25" s="508"/>
      <c r="G25" s="508"/>
      <c r="H25" s="236">
        <f>SUM(I25,L25,M25)</f>
        <v>548000</v>
      </c>
      <c r="I25" s="241">
        <v>0</v>
      </c>
      <c r="J25" s="241">
        <v>0</v>
      </c>
      <c r="K25" s="404" t="s">
        <v>340</v>
      </c>
      <c r="L25" s="404">
        <v>548000</v>
      </c>
      <c r="M25" s="542">
        <v>0</v>
      </c>
      <c r="N25" s="404"/>
      <c r="O25" s="404">
        <v>3675548</v>
      </c>
      <c r="P25" s="404">
        <v>0</v>
      </c>
      <c r="Q25" s="576"/>
    </row>
    <row r="26" spans="1:17" ht="54" customHeight="1">
      <c r="A26" s="491"/>
      <c r="B26" s="240"/>
      <c r="C26" s="235" t="s">
        <v>492</v>
      </c>
      <c r="D26" s="506"/>
      <c r="E26" s="545">
        <v>4721589</v>
      </c>
      <c r="F26" s="157"/>
      <c r="G26" s="157"/>
      <c r="H26" s="236">
        <f>SUM(I26,L26,M26)</f>
        <v>10980</v>
      </c>
      <c r="I26" s="217">
        <v>0</v>
      </c>
      <c r="J26" s="217">
        <v>0</v>
      </c>
      <c r="K26" s="543" t="s">
        <v>340</v>
      </c>
      <c r="L26" s="543">
        <v>10980</v>
      </c>
      <c r="M26" s="541">
        <v>0</v>
      </c>
      <c r="N26" s="236"/>
      <c r="O26" s="236">
        <v>4701396</v>
      </c>
      <c r="P26" s="236">
        <v>0</v>
      </c>
      <c r="Q26" s="571"/>
    </row>
    <row r="27" spans="1:17" ht="15">
      <c r="A27" s="609" t="s">
        <v>82</v>
      </c>
      <c r="B27" s="610"/>
      <c r="C27" s="610"/>
      <c r="D27" s="611"/>
      <c r="E27" s="237">
        <f aca="true" t="shared" si="0" ref="E27:K27">SUM(E14)</f>
        <v>32725299</v>
      </c>
      <c r="F27" s="237">
        <f t="shared" si="0"/>
        <v>0</v>
      </c>
      <c r="G27" s="237">
        <f t="shared" si="0"/>
        <v>0</v>
      </c>
      <c r="H27" s="237">
        <f t="shared" si="0"/>
        <v>3734360</v>
      </c>
      <c r="I27" s="237">
        <f t="shared" si="0"/>
        <v>300000</v>
      </c>
      <c r="J27" s="237">
        <f t="shared" si="0"/>
        <v>563500</v>
      </c>
      <c r="K27" s="612">
        <f t="shared" si="0"/>
        <v>1008980</v>
      </c>
      <c r="L27" s="613"/>
      <c r="M27" s="237">
        <f>SUM(M14)</f>
        <v>1861880</v>
      </c>
      <c r="N27" s="237">
        <f>SUM(N14)</f>
        <v>0</v>
      </c>
      <c r="O27" s="237">
        <f>SUM(O14)</f>
        <v>12201941</v>
      </c>
      <c r="P27" s="237">
        <f>SUM(P14)</f>
        <v>2765000</v>
      </c>
      <c r="Q27" s="238" t="s">
        <v>263</v>
      </c>
    </row>
    <row r="28" spans="1:17" ht="21.75" customHeight="1">
      <c r="A28" s="614" t="s">
        <v>51</v>
      </c>
      <c r="B28" s="615"/>
      <c r="C28" s="615"/>
      <c r="D28" s="616"/>
      <c r="E28" s="237">
        <f aca="true" t="shared" si="1" ref="E28:J28">SUM(E27)</f>
        <v>32725299</v>
      </c>
      <c r="F28" s="237">
        <f t="shared" si="1"/>
        <v>0</v>
      </c>
      <c r="G28" s="237">
        <f t="shared" si="1"/>
        <v>0</v>
      </c>
      <c r="H28" s="237">
        <f t="shared" si="1"/>
        <v>3734360</v>
      </c>
      <c r="I28" s="237">
        <f t="shared" si="1"/>
        <v>300000</v>
      </c>
      <c r="J28" s="237">
        <f t="shared" si="1"/>
        <v>563500</v>
      </c>
      <c r="K28" s="612">
        <f>SUM(K27)</f>
        <v>1008980</v>
      </c>
      <c r="L28" s="613"/>
      <c r="M28" s="237">
        <f>SUM(M27)</f>
        <v>1861880</v>
      </c>
      <c r="N28" s="237">
        <f>SUM(N27)</f>
        <v>0</v>
      </c>
      <c r="O28" s="237">
        <f>SUM(O27)</f>
        <v>12201941</v>
      </c>
      <c r="P28" s="237">
        <f>SUM(P27)</f>
        <v>2765000</v>
      </c>
      <c r="Q28" s="238" t="s">
        <v>263</v>
      </c>
    </row>
    <row r="29" ht="5.25" customHeight="1"/>
    <row r="30" ht="12.75">
      <c r="A30" s="43" t="s">
        <v>339</v>
      </c>
    </row>
  </sheetData>
  <mergeCells count="63">
    <mergeCell ref="A28:D28"/>
    <mergeCell ref="K28:L28"/>
    <mergeCell ref="C15:C17"/>
    <mergeCell ref="D15:D17"/>
    <mergeCell ref="E15:E17"/>
    <mergeCell ref="F15:F17"/>
    <mergeCell ref="G15:G17"/>
    <mergeCell ref="H15:H17"/>
    <mergeCell ref="I15:I17"/>
    <mergeCell ref="J15:J17"/>
    <mergeCell ref="P21:P23"/>
    <mergeCell ref="A27:D27"/>
    <mergeCell ref="K27:L27"/>
    <mergeCell ref="K15:L17"/>
    <mergeCell ref="M15:M17"/>
    <mergeCell ref="N15:N17"/>
    <mergeCell ref="O15:O17"/>
    <mergeCell ref="P15:P17"/>
    <mergeCell ref="K21:L23"/>
    <mergeCell ref="M21:M23"/>
    <mergeCell ref="O21:O23"/>
    <mergeCell ref="C21:C23"/>
    <mergeCell ref="D21:D23"/>
    <mergeCell ref="E21:E23"/>
    <mergeCell ref="F21:F23"/>
    <mergeCell ref="G21:G23"/>
    <mergeCell ref="H21:H23"/>
    <mergeCell ref="I21:I23"/>
    <mergeCell ref="J21:J23"/>
    <mergeCell ref="K18:L20"/>
    <mergeCell ref="M18:M20"/>
    <mergeCell ref="N18:N20"/>
    <mergeCell ref="N21:N23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O18:O20"/>
    <mergeCell ref="P18:P20"/>
    <mergeCell ref="Q15:Q26"/>
    <mergeCell ref="A7:Q7"/>
    <mergeCell ref="A8:Q8"/>
    <mergeCell ref="A10:A12"/>
    <mergeCell ref="B10:B12"/>
    <mergeCell ref="C10:C12"/>
    <mergeCell ref="D10:D12"/>
    <mergeCell ref="E10:E12"/>
  </mergeCells>
  <printOptions/>
  <pageMargins left="0.77" right="0.16" top="0.9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H17" sqref="H17"/>
    </sheetView>
  </sheetViews>
  <sheetFormatPr defaultColWidth="9.00390625" defaultRowHeight="12.75"/>
  <cols>
    <col min="1" max="1" width="5.00390625" style="43" customWidth="1"/>
    <col min="2" max="2" width="6.75390625" style="43" customWidth="1"/>
    <col min="3" max="3" width="31.00390625" style="43" customWidth="1"/>
    <col min="4" max="4" width="8.00390625" style="49" hidden="1" customWidth="1"/>
    <col min="5" max="5" width="10.75390625" style="43" customWidth="1"/>
    <col min="6" max="6" width="11.625" style="43" hidden="1" customWidth="1"/>
    <col min="7" max="7" width="12.125" style="43" hidden="1" customWidth="1"/>
    <col min="8" max="8" width="10.25390625" style="47" customWidth="1"/>
    <col min="9" max="9" width="8.625" style="43" customWidth="1"/>
    <col min="10" max="10" width="9.625" style="43" customWidth="1"/>
    <col min="11" max="11" width="2.875" style="43" customWidth="1"/>
    <col min="12" max="12" width="11.375" style="43" customWidth="1"/>
    <col min="13" max="13" width="14.375" style="43" customWidth="1"/>
    <col min="14" max="14" width="10.00390625" style="43" hidden="1" customWidth="1"/>
    <col min="15" max="15" width="17.625" style="43" customWidth="1"/>
    <col min="16" max="16384" width="9.125" style="43" customWidth="1"/>
  </cols>
  <sheetData>
    <row r="1" spans="1:15" ht="16.5" customHeight="1">
      <c r="A1" s="73"/>
      <c r="M1" s="45"/>
      <c r="N1" s="45"/>
      <c r="O1" s="414" t="s">
        <v>11</v>
      </c>
    </row>
    <row r="2" spans="13:15" ht="15" customHeight="1">
      <c r="M2" s="44"/>
      <c r="N2" s="44"/>
      <c r="O2" s="44" t="s">
        <v>506</v>
      </c>
    </row>
    <row r="3" spans="13:15" ht="12" customHeight="1">
      <c r="M3" s="44"/>
      <c r="N3" s="44"/>
      <c r="O3" s="44" t="s">
        <v>504</v>
      </c>
    </row>
    <row r="4" ht="3.75" customHeight="1">
      <c r="N4" s="17"/>
    </row>
    <row r="5" ht="1.5" customHeight="1">
      <c r="N5" s="17"/>
    </row>
    <row r="6" ht="16.5" customHeight="1" hidden="1">
      <c r="N6" s="17"/>
    </row>
    <row r="7" spans="1:15" s="54" customFormat="1" ht="5.25" customHeight="1">
      <c r="A7" s="572"/>
      <c r="B7" s="572"/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</row>
    <row r="8" spans="1:15" s="54" customFormat="1" ht="17.25" customHeight="1">
      <c r="A8" s="572" t="s">
        <v>383</v>
      </c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</row>
    <row r="9" ht="13.5" customHeight="1">
      <c r="O9" s="56" t="s">
        <v>160</v>
      </c>
    </row>
    <row r="10" spans="1:15" s="27" customFormat="1" ht="12.75">
      <c r="A10" s="573" t="s">
        <v>105</v>
      </c>
      <c r="B10" s="573" t="s">
        <v>106</v>
      </c>
      <c r="C10" s="573" t="s">
        <v>364</v>
      </c>
      <c r="D10" s="573" t="s">
        <v>235</v>
      </c>
      <c r="E10" s="573" t="s">
        <v>39</v>
      </c>
      <c r="F10" s="573" t="s">
        <v>236</v>
      </c>
      <c r="G10" s="573" t="s">
        <v>237</v>
      </c>
      <c r="H10" s="566" t="s">
        <v>46</v>
      </c>
      <c r="I10" s="567"/>
      <c r="J10" s="567"/>
      <c r="K10" s="567"/>
      <c r="L10" s="567"/>
      <c r="M10" s="567"/>
      <c r="N10" s="567"/>
      <c r="O10" s="573" t="s">
        <v>238</v>
      </c>
    </row>
    <row r="11" spans="1:15" s="57" customFormat="1" ht="12.75" customHeight="1">
      <c r="A11" s="574"/>
      <c r="B11" s="574"/>
      <c r="C11" s="574"/>
      <c r="D11" s="565"/>
      <c r="E11" s="574"/>
      <c r="F11" s="574"/>
      <c r="G11" s="574"/>
      <c r="H11" s="573" t="s">
        <v>42</v>
      </c>
      <c r="I11" s="573" t="s">
        <v>47</v>
      </c>
      <c r="J11" s="568"/>
      <c r="K11" s="568"/>
      <c r="L11" s="568"/>
      <c r="M11" s="568"/>
      <c r="N11" s="573" t="s">
        <v>239</v>
      </c>
      <c r="O11" s="565"/>
    </row>
    <row r="12" spans="1:15" s="57" customFormat="1" ht="48">
      <c r="A12" s="574"/>
      <c r="B12" s="574"/>
      <c r="C12" s="574"/>
      <c r="D12" s="565"/>
      <c r="E12" s="574"/>
      <c r="F12" s="574"/>
      <c r="G12" s="574"/>
      <c r="H12" s="573"/>
      <c r="I12" s="163" t="s">
        <v>43</v>
      </c>
      <c r="J12" s="163" t="s">
        <v>240</v>
      </c>
      <c r="K12" s="569" t="s">
        <v>318</v>
      </c>
      <c r="L12" s="570"/>
      <c r="M12" s="163" t="s">
        <v>45</v>
      </c>
      <c r="N12" s="573"/>
      <c r="O12" s="565"/>
    </row>
    <row r="13" spans="1:15" s="57" customFormat="1" ht="12.75">
      <c r="A13" s="75" t="s">
        <v>112</v>
      </c>
      <c r="B13" s="75" t="s">
        <v>113</v>
      </c>
      <c r="C13" s="75" t="s">
        <v>114</v>
      </c>
      <c r="D13" s="75" t="s">
        <v>104</v>
      </c>
      <c r="E13" s="75" t="s">
        <v>104</v>
      </c>
      <c r="F13" s="75" t="s">
        <v>118</v>
      </c>
      <c r="G13" s="75" t="s">
        <v>122</v>
      </c>
      <c r="H13" s="75" t="s">
        <v>118</v>
      </c>
      <c r="I13" s="75" t="s">
        <v>122</v>
      </c>
      <c r="J13" s="75" t="s">
        <v>130</v>
      </c>
      <c r="K13" s="552" t="s">
        <v>133</v>
      </c>
      <c r="L13" s="553"/>
      <c r="M13" s="75" t="s">
        <v>182</v>
      </c>
      <c r="N13" s="75" t="s">
        <v>184</v>
      </c>
      <c r="O13" s="75" t="s">
        <v>41</v>
      </c>
    </row>
    <row r="14" spans="1:15" s="48" customFormat="1" ht="12.75">
      <c r="A14" s="516">
        <v>600</v>
      </c>
      <c r="B14" s="516">
        <v>60014</v>
      </c>
      <c r="C14" s="26" t="s">
        <v>193</v>
      </c>
      <c r="D14" s="174"/>
      <c r="E14" s="242">
        <f>SUM(E16:E18)</f>
        <v>1010000</v>
      </c>
      <c r="F14" s="242">
        <f>SUM(F16:F18)</f>
        <v>0</v>
      </c>
      <c r="G14" s="242">
        <f>SUM(G16:G18)</f>
        <v>0</v>
      </c>
      <c r="H14" s="242">
        <f>SUM(H16:H18)</f>
        <v>1010000</v>
      </c>
      <c r="I14" s="242">
        <f>SUM(I15:I15)</f>
        <v>0</v>
      </c>
      <c r="J14" s="242">
        <f>SUM(J16:J18)</f>
        <v>1010000</v>
      </c>
      <c r="K14" s="621">
        <f>SUM(L15:L15)</f>
        <v>0</v>
      </c>
      <c r="L14" s="622"/>
      <c r="M14" s="242">
        <f>SUM(M15:M15)</f>
        <v>0</v>
      </c>
      <c r="N14" s="242">
        <f>SUM(N15:N15)</f>
        <v>0</v>
      </c>
      <c r="O14" s="26"/>
    </row>
    <row r="15" spans="1:15" s="48" customFormat="1" ht="7.5" customHeight="1" hidden="1">
      <c r="A15" s="89"/>
      <c r="B15" s="58"/>
      <c r="C15" s="405"/>
      <c r="D15" s="215"/>
      <c r="E15" s="406"/>
      <c r="F15" s="406"/>
      <c r="G15" s="406"/>
      <c r="H15" s="406"/>
      <c r="I15" s="406"/>
      <c r="J15" s="406"/>
      <c r="K15" s="619"/>
      <c r="L15" s="620"/>
      <c r="M15" s="407"/>
      <c r="N15" s="406"/>
      <c r="O15" s="575" t="s">
        <v>9</v>
      </c>
    </row>
    <row r="16" spans="1:15" s="48" customFormat="1" ht="45">
      <c r="A16" s="89"/>
      <c r="B16" s="58"/>
      <c r="C16" s="533" t="s">
        <v>15</v>
      </c>
      <c r="D16" s="215"/>
      <c r="E16" s="399">
        <v>950000</v>
      </c>
      <c r="F16" s="399"/>
      <c r="G16" s="399"/>
      <c r="H16" s="399">
        <v>950000</v>
      </c>
      <c r="I16" s="399">
        <v>0</v>
      </c>
      <c r="J16" s="399">
        <v>950000</v>
      </c>
      <c r="K16" s="617">
        <v>0</v>
      </c>
      <c r="L16" s="618"/>
      <c r="M16" s="534">
        <v>0</v>
      </c>
      <c r="N16" s="406"/>
      <c r="O16" s="576"/>
    </row>
    <row r="17" spans="1:15" s="48" customFormat="1" ht="24" customHeight="1">
      <c r="A17" s="89"/>
      <c r="B17" s="58"/>
      <c r="C17" s="533" t="s">
        <v>10</v>
      </c>
      <c r="D17" s="215"/>
      <c r="E17" s="399">
        <v>40000</v>
      </c>
      <c r="F17" s="399"/>
      <c r="G17" s="399"/>
      <c r="H17" s="399">
        <v>40000</v>
      </c>
      <c r="I17" s="399">
        <v>0</v>
      </c>
      <c r="J17" s="399">
        <v>40000</v>
      </c>
      <c r="K17" s="617">
        <v>0</v>
      </c>
      <c r="L17" s="618"/>
      <c r="M17" s="537">
        <v>0</v>
      </c>
      <c r="N17" s="406"/>
      <c r="O17" s="576"/>
    </row>
    <row r="18" spans="1:15" s="48" customFormat="1" ht="22.5">
      <c r="A18" s="89"/>
      <c r="B18" s="58"/>
      <c r="C18" s="533" t="s">
        <v>14</v>
      </c>
      <c r="D18" s="215"/>
      <c r="E18" s="399">
        <v>20000</v>
      </c>
      <c r="F18" s="399"/>
      <c r="G18" s="399"/>
      <c r="H18" s="399">
        <v>20000</v>
      </c>
      <c r="I18" s="399">
        <v>0</v>
      </c>
      <c r="J18" s="399">
        <v>20000</v>
      </c>
      <c r="K18" s="617">
        <v>0</v>
      </c>
      <c r="L18" s="618"/>
      <c r="M18" s="537">
        <v>0</v>
      </c>
      <c r="N18" s="406"/>
      <c r="O18" s="571"/>
    </row>
    <row r="19" spans="1:15" s="71" customFormat="1" ht="12.75">
      <c r="A19" s="174">
        <v>750</v>
      </c>
      <c r="B19" s="174">
        <v>75020</v>
      </c>
      <c r="C19" s="83" t="s">
        <v>208</v>
      </c>
      <c r="D19" s="174"/>
      <c r="E19" s="242">
        <f aca="true" t="shared" si="0" ref="E19:J19">SUM(E20:E24)</f>
        <v>559700</v>
      </c>
      <c r="F19" s="242">
        <f t="shared" si="0"/>
        <v>0</v>
      </c>
      <c r="G19" s="242">
        <f t="shared" si="0"/>
        <v>0</v>
      </c>
      <c r="H19" s="242">
        <f t="shared" si="0"/>
        <v>559700</v>
      </c>
      <c r="I19" s="242">
        <f t="shared" si="0"/>
        <v>288273</v>
      </c>
      <c r="J19" s="242">
        <f t="shared" si="0"/>
        <v>271427</v>
      </c>
      <c r="K19" s="621">
        <v>0</v>
      </c>
      <c r="L19" s="622"/>
      <c r="M19" s="242">
        <f>SUM(M22:M23)</f>
        <v>0</v>
      </c>
      <c r="N19" s="242">
        <f>SUM(N22:N23)</f>
        <v>0</v>
      </c>
      <c r="O19" s="174"/>
    </row>
    <row r="20" spans="1:15" s="71" customFormat="1" ht="45">
      <c r="A20" s="509"/>
      <c r="B20" s="503"/>
      <c r="C20" s="510" t="s">
        <v>498</v>
      </c>
      <c r="D20" s="174"/>
      <c r="E20" s="511">
        <v>476000</v>
      </c>
      <c r="F20" s="511"/>
      <c r="G20" s="511"/>
      <c r="H20" s="511">
        <f>SUM(I20:J20)</f>
        <v>476000</v>
      </c>
      <c r="I20" s="511">
        <v>204573</v>
      </c>
      <c r="J20" s="511">
        <v>271427</v>
      </c>
      <c r="K20" s="512"/>
      <c r="L20" s="513">
        <v>0</v>
      </c>
      <c r="M20" s="511">
        <v>0</v>
      </c>
      <c r="N20" s="242"/>
      <c r="O20" s="575" t="s">
        <v>258</v>
      </c>
    </row>
    <row r="21" spans="1:15" s="71" customFormat="1" ht="33.75">
      <c r="A21" s="509"/>
      <c r="B21" s="503"/>
      <c r="C21" s="510" t="s">
        <v>499</v>
      </c>
      <c r="D21" s="174"/>
      <c r="E21" s="511">
        <v>25000</v>
      </c>
      <c r="F21" s="511"/>
      <c r="G21" s="511"/>
      <c r="H21" s="511">
        <v>25000</v>
      </c>
      <c r="I21" s="511">
        <v>25000</v>
      </c>
      <c r="J21" s="511">
        <v>0</v>
      </c>
      <c r="K21" s="512"/>
      <c r="L21" s="513">
        <v>0</v>
      </c>
      <c r="M21" s="511">
        <v>0</v>
      </c>
      <c r="N21" s="242"/>
      <c r="O21" s="576"/>
    </row>
    <row r="22" spans="1:15" s="57" customFormat="1" ht="12.75" customHeight="1">
      <c r="A22" s="124"/>
      <c r="B22" s="114"/>
      <c r="C22" s="310" t="s">
        <v>358</v>
      </c>
      <c r="D22" s="311"/>
      <c r="E22" s="312">
        <v>9700</v>
      </c>
      <c r="F22" s="312"/>
      <c r="G22" s="312"/>
      <c r="H22" s="312">
        <v>9700</v>
      </c>
      <c r="I22" s="312">
        <f>7500+2200</f>
        <v>9700</v>
      </c>
      <c r="J22" s="312">
        <v>0</v>
      </c>
      <c r="K22" s="617">
        <v>0</v>
      </c>
      <c r="L22" s="618"/>
      <c r="M22" s="313">
        <v>0</v>
      </c>
      <c r="N22" s="123"/>
      <c r="O22" s="576"/>
    </row>
    <row r="23" spans="1:15" s="57" customFormat="1" ht="15" customHeight="1">
      <c r="A23" s="314"/>
      <c r="B23" s="216"/>
      <c r="C23" s="310" t="s">
        <v>359</v>
      </c>
      <c r="D23" s="311"/>
      <c r="E23" s="312">
        <v>8000</v>
      </c>
      <c r="F23" s="312"/>
      <c r="G23" s="312"/>
      <c r="H23" s="312">
        <v>8000</v>
      </c>
      <c r="I23" s="312">
        <v>8000</v>
      </c>
      <c r="J23" s="312">
        <v>0</v>
      </c>
      <c r="K23" s="617">
        <v>0</v>
      </c>
      <c r="L23" s="618"/>
      <c r="M23" s="313">
        <v>0</v>
      </c>
      <c r="N23" s="312"/>
      <c r="O23" s="576"/>
    </row>
    <row r="24" spans="1:15" s="57" customFormat="1" ht="13.5" customHeight="1">
      <c r="A24" s="124"/>
      <c r="B24" s="114"/>
      <c r="C24" s="310" t="s">
        <v>357</v>
      </c>
      <c r="D24" s="311"/>
      <c r="E24" s="312">
        <v>41000</v>
      </c>
      <c r="F24" s="312"/>
      <c r="G24" s="312"/>
      <c r="H24" s="312">
        <v>41000</v>
      </c>
      <c r="I24" s="312">
        <v>41000</v>
      </c>
      <c r="J24" s="312">
        <v>0</v>
      </c>
      <c r="K24" s="617">
        <v>0</v>
      </c>
      <c r="L24" s="618"/>
      <c r="M24" s="313">
        <v>0</v>
      </c>
      <c r="N24" s="123"/>
      <c r="O24" s="571"/>
    </row>
    <row r="25" spans="1:15" s="57" customFormat="1" ht="28.5" customHeight="1">
      <c r="A25" s="161">
        <v>754</v>
      </c>
      <c r="B25" s="161">
        <v>75411</v>
      </c>
      <c r="C25" s="514" t="s">
        <v>214</v>
      </c>
      <c r="D25" s="311"/>
      <c r="E25" s="397">
        <f>SUM(E26:E38)</f>
        <v>380600</v>
      </c>
      <c r="F25" s="397">
        <f>SUM(F26:F37)</f>
        <v>0</v>
      </c>
      <c r="G25" s="397">
        <f>SUM(G26:G37)</f>
        <v>0</v>
      </c>
      <c r="H25" s="397">
        <f>SUM(H26:H38)</f>
        <v>380600</v>
      </c>
      <c r="I25" s="242">
        <f>SUM(I26:I37)</f>
        <v>0</v>
      </c>
      <c r="J25" s="242">
        <f>SUM(J26)</f>
        <v>0</v>
      </c>
      <c r="K25" s="403" t="s">
        <v>340</v>
      </c>
      <c r="L25" s="397">
        <f>SUM(L26:L38)</f>
        <v>380600</v>
      </c>
      <c r="M25" s="242">
        <f>SUM(M26)</f>
        <v>0</v>
      </c>
      <c r="N25" s="242">
        <f>SUM(N26)</f>
        <v>0</v>
      </c>
      <c r="O25" s="501"/>
    </row>
    <row r="26" spans="1:15" s="57" customFormat="1" ht="35.25" customHeight="1">
      <c r="A26" s="538"/>
      <c r="B26" s="539"/>
      <c r="C26" s="310" t="s">
        <v>372</v>
      </c>
      <c r="D26" s="122"/>
      <c r="E26" s="312">
        <f>SUM(H26)</f>
        <v>150000</v>
      </c>
      <c r="F26" s="312"/>
      <c r="G26" s="312"/>
      <c r="H26" s="312">
        <f>SUM(L26)</f>
        <v>150000</v>
      </c>
      <c r="I26" s="312">
        <v>0</v>
      </c>
      <c r="J26" s="312">
        <v>0</v>
      </c>
      <c r="K26" s="241" t="s">
        <v>340</v>
      </c>
      <c r="L26" s="312">
        <v>150000</v>
      </c>
      <c r="M26" s="315">
        <v>0</v>
      </c>
      <c r="N26" s="401"/>
      <c r="O26" s="311" t="s">
        <v>360</v>
      </c>
    </row>
    <row r="27" spans="1:15" s="57" customFormat="1" ht="22.5" customHeight="1">
      <c r="A27" s="535">
        <v>754</v>
      </c>
      <c r="B27" s="536">
        <v>75411</v>
      </c>
      <c r="C27" s="310" t="s">
        <v>501</v>
      </c>
      <c r="D27" s="122"/>
      <c r="E27" s="312">
        <v>25000</v>
      </c>
      <c r="F27" s="312"/>
      <c r="G27" s="312"/>
      <c r="H27" s="312">
        <v>25000</v>
      </c>
      <c r="I27" s="312"/>
      <c r="J27" s="312"/>
      <c r="K27" s="241" t="s">
        <v>340</v>
      </c>
      <c r="L27" s="312">
        <v>25000</v>
      </c>
      <c r="M27" s="315"/>
      <c r="N27" s="401"/>
      <c r="O27" s="575" t="s">
        <v>360</v>
      </c>
    </row>
    <row r="28" spans="1:15" s="57" customFormat="1" ht="18.75" customHeight="1">
      <c r="A28" s="124"/>
      <c r="B28" s="114"/>
      <c r="C28" s="310" t="s">
        <v>373</v>
      </c>
      <c r="D28" s="122"/>
      <c r="E28" s="312">
        <f aca="true" t="shared" si="1" ref="E28:E37">SUM(H28)</f>
        <v>80000</v>
      </c>
      <c r="F28" s="312"/>
      <c r="G28" s="312"/>
      <c r="H28" s="312">
        <f aca="true" t="shared" si="2" ref="H28:H37">SUM(L28)</f>
        <v>80000</v>
      </c>
      <c r="I28" s="312">
        <v>0</v>
      </c>
      <c r="J28" s="312">
        <v>0</v>
      </c>
      <c r="K28" s="241" t="s">
        <v>340</v>
      </c>
      <c r="L28" s="312">
        <v>80000</v>
      </c>
      <c r="M28" s="315">
        <v>0</v>
      </c>
      <c r="N28" s="401"/>
      <c r="O28" s="576"/>
    </row>
    <row r="29" spans="1:15" s="57" customFormat="1" ht="23.25" customHeight="1">
      <c r="A29" s="124"/>
      <c r="B29" s="114"/>
      <c r="C29" s="310" t="s">
        <v>380</v>
      </c>
      <c r="D29" s="122"/>
      <c r="E29" s="312">
        <f t="shared" si="1"/>
        <v>24000</v>
      </c>
      <c r="F29" s="312"/>
      <c r="G29" s="312"/>
      <c r="H29" s="312">
        <f t="shared" si="2"/>
        <v>24000</v>
      </c>
      <c r="I29" s="312">
        <v>0</v>
      </c>
      <c r="J29" s="312">
        <v>0</v>
      </c>
      <c r="K29" s="241" t="s">
        <v>340</v>
      </c>
      <c r="L29" s="312">
        <v>24000</v>
      </c>
      <c r="M29" s="315">
        <v>0</v>
      </c>
      <c r="N29" s="401"/>
      <c r="O29" s="576"/>
    </row>
    <row r="30" spans="1:15" s="57" customFormat="1" ht="23.25" customHeight="1">
      <c r="A30" s="314"/>
      <c r="B30" s="216"/>
      <c r="C30" s="310" t="s">
        <v>381</v>
      </c>
      <c r="D30" s="311"/>
      <c r="E30" s="312">
        <f t="shared" si="1"/>
        <v>24000</v>
      </c>
      <c r="F30" s="312"/>
      <c r="G30" s="312"/>
      <c r="H30" s="312">
        <f t="shared" si="2"/>
        <v>24000</v>
      </c>
      <c r="I30" s="312">
        <v>0</v>
      </c>
      <c r="J30" s="312">
        <v>0</v>
      </c>
      <c r="K30" s="241" t="s">
        <v>340</v>
      </c>
      <c r="L30" s="312">
        <v>24000</v>
      </c>
      <c r="M30" s="315">
        <v>0</v>
      </c>
      <c r="N30" s="515"/>
      <c r="O30" s="576"/>
    </row>
    <row r="31" spans="1:15" s="57" customFormat="1" ht="22.5" customHeight="1">
      <c r="A31" s="314"/>
      <c r="B31" s="216"/>
      <c r="C31" s="398" t="s">
        <v>375</v>
      </c>
      <c r="D31" s="215"/>
      <c r="E31" s="399">
        <f t="shared" si="1"/>
        <v>20000</v>
      </c>
      <c r="F31" s="399"/>
      <c r="G31" s="399"/>
      <c r="H31" s="399">
        <f t="shared" si="2"/>
        <v>20000</v>
      </c>
      <c r="I31" s="399">
        <v>0</v>
      </c>
      <c r="J31" s="399">
        <v>0</v>
      </c>
      <c r="K31" s="217" t="s">
        <v>340</v>
      </c>
      <c r="L31" s="399">
        <v>20000</v>
      </c>
      <c r="M31" s="400">
        <v>0</v>
      </c>
      <c r="N31" s="515"/>
      <c r="O31" s="576"/>
    </row>
    <row r="32" spans="1:15" s="57" customFormat="1" ht="25.5" customHeight="1">
      <c r="A32" s="314"/>
      <c r="B32" s="216"/>
      <c r="C32" s="310" t="s">
        <v>374</v>
      </c>
      <c r="D32" s="311"/>
      <c r="E32" s="312">
        <f t="shared" si="1"/>
        <v>33000</v>
      </c>
      <c r="F32" s="312"/>
      <c r="G32" s="312"/>
      <c r="H32" s="312">
        <f t="shared" si="2"/>
        <v>33000</v>
      </c>
      <c r="I32" s="312">
        <v>0</v>
      </c>
      <c r="J32" s="312">
        <v>0</v>
      </c>
      <c r="K32" s="241" t="s">
        <v>340</v>
      </c>
      <c r="L32" s="312">
        <v>33000</v>
      </c>
      <c r="M32" s="315">
        <v>0</v>
      </c>
      <c r="N32" s="515"/>
      <c r="O32" s="576"/>
    </row>
    <row r="33" spans="1:15" s="57" customFormat="1" ht="22.5" customHeight="1">
      <c r="A33" s="314"/>
      <c r="B33" s="216"/>
      <c r="C33" s="310" t="s">
        <v>376</v>
      </c>
      <c r="D33" s="311"/>
      <c r="E33" s="312">
        <f t="shared" si="1"/>
        <v>8000</v>
      </c>
      <c r="F33" s="312"/>
      <c r="G33" s="312"/>
      <c r="H33" s="312">
        <f t="shared" si="2"/>
        <v>8000</v>
      </c>
      <c r="I33" s="312">
        <v>0</v>
      </c>
      <c r="J33" s="312">
        <v>0</v>
      </c>
      <c r="K33" s="241" t="s">
        <v>340</v>
      </c>
      <c r="L33" s="312">
        <v>8000</v>
      </c>
      <c r="M33" s="315">
        <v>0</v>
      </c>
      <c r="N33" s="515"/>
      <c r="O33" s="576"/>
    </row>
    <row r="34" spans="1:15" s="57" customFormat="1" ht="22.5" customHeight="1">
      <c r="A34" s="314"/>
      <c r="B34" s="216"/>
      <c r="C34" s="398" t="s">
        <v>377</v>
      </c>
      <c r="D34" s="215"/>
      <c r="E34" s="399">
        <f t="shared" si="1"/>
        <v>6000</v>
      </c>
      <c r="F34" s="399"/>
      <c r="G34" s="399"/>
      <c r="H34" s="312">
        <f t="shared" si="2"/>
        <v>6000</v>
      </c>
      <c r="I34" s="399">
        <v>0</v>
      </c>
      <c r="J34" s="399">
        <v>0</v>
      </c>
      <c r="K34" s="241" t="s">
        <v>340</v>
      </c>
      <c r="L34" s="399">
        <v>6000</v>
      </c>
      <c r="M34" s="400">
        <v>0</v>
      </c>
      <c r="N34" s="515"/>
      <c r="O34" s="576"/>
    </row>
    <row r="35" spans="1:15" s="57" customFormat="1" ht="23.25" customHeight="1">
      <c r="A35" s="314"/>
      <c r="B35" s="216"/>
      <c r="C35" s="310" t="s">
        <v>382</v>
      </c>
      <c r="D35" s="311"/>
      <c r="E35" s="312">
        <f t="shared" si="1"/>
        <v>2000</v>
      </c>
      <c r="F35" s="312"/>
      <c r="G35" s="312"/>
      <c r="H35" s="312">
        <f t="shared" si="2"/>
        <v>2000</v>
      </c>
      <c r="I35" s="312">
        <v>0</v>
      </c>
      <c r="J35" s="312">
        <v>0</v>
      </c>
      <c r="K35" s="241" t="s">
        <v>340</v>
      </c>
      <c r="L35" s="312">
        <v>2000</v>
      </c>
      <c r="M35" s="315">
        <v>0</v>
      </c>
      <c r="N35" s="515"/>
      <c r="O35" s="576"/>
    </row>
    <row r="36" spans="1:15" s="57" customFormat="1" ht="25.5" customHeight="1">
      <c r="A36" s="314"/>
      <c r="B36" s="216"/>
      <c r="C36" s="310" t="s">
        <v>378</v>
      </c>
      <c r="D36" s="311"/>
      <c r="E36" s="312">
        <f t="shared" si="1"/>
        <v>1500</v>
      </c>
      <c r="F36" s="312"/>
      <c r="G36" s="312"/>
      <c r="H36" s="312">
        <f t="shared" si="2"/>
        <v>1500</v>
      </c>
      <c r="I36" s="312">
        <v>0</v>
      </c>
      <c r="J36" s="312">
        <v>0</v>
      </c>
      <c r="K36" s="241" t="s">
        <v>340</v>
      </c>
      <c r="L36" s="312">
        <v>1500</v>
      </c>
      <c r="M36" s="315">
        <v>0</v>
      </c>
      <c r="N36" s="515"/>
      <c r="O36" s="576"/>
    </row>
    <row r="37" spans="1:15" s="57" customFormat="1" ht="15.75" customHeight="1">
      <c r="A37" s="314"/>
      <c r="B37" s="216"/>
      <c r="C37" s="310" t="s">
        <v>379</v>
      </c>
      <c r="D37" s="311"/>
      <c r="E37" s="312">
        <f t="shared" si="1"/>
        <v>1500</v>
      </c>
      <c r="F37" s="312"/>
      <c r="G37" s="312"/>
      <c r="H37" s="312">
        <f t="shared" si="2"/>
        <v>1500</v>
      </c>
      <c r="I37" s="312">
        <v>0</v>
      </c>
      <c r="J37" s="312">
        <v>0</v>
      </c>
      <c r="K37" s="241" t="s">
        <v>340</v>
      </c>
      <c r="L37" s="312">
        <v>1500</v>
      </c>
      <c r="M37" s="315">
        <v>0</v>
      </c>
      <c r="N37" s="515"/>
      <c r="O37" s="576"/>
    </row>
    <row r="38" spans="1:15" s="57" customFormat="1" ht="33.75">
      <c r="A38" s="409"/>
      <c r="B38" s="408"/>
      <c r="C38" s="310" t="s">
        <v>500</v>
      </c>
      <c r="D38" s="311"/>
      <c r="E38" s="312">
        <v>5600</v>
      </c>
      <c r="F38" s="312"/>
      <c r="G38" s="312"/>
      <c r="H38" s="312">
        <v>5600</v>
      </c>
      <c r="I38" s="312">
        <v>0</v>
      </c>
      <c r="J38" s="312">
        <v>0</v>
      </c>
      <c r="K38" s="404" t="s">
        <v>340</v>
      </c>
      <c r="L38" s="312">
        <v>5600</v>
      </c>
      <c r="M38" s="315">
        <v>0</v>
      </c>
      <c r="N38" s="515"/>
      <c r="O38" s="571"/>
    </row>
    <row r="39" spans="1:15" s="71" customFormat="1" ht="12.75">
      <c r="A39" s="503">
        <v>801</v>
      </c>
      <c r="B39" s="503">
        <v>80148</v>
      </c>
      <c r="C39" s="83" t="s">
        <v>219</v>
      </c>
      <c r="D39" s="174"/>
      <c r="E39" s="242">
        <f aca="true" t="shared" si="3" ref="E39:J39">SUM(E40)</f>
        <v>10000</v>
      </c>
      <c r="F39" s="242">
        <f t="shared" si="3"/>
        <v>0</v>
      </c>
      <c r="G39" s="242">
        <f t="shared" si="3"/>
        <v>0</v>
      </c>
      <c r="H39" s="242">
        <f t="shared" si="3"/>
        <v>10000</v>
      </c>
      <c r="I39" s="242">
        <f t="shared" si="3"/>
        <v>10000</v>
      </c>
      <c r="J39" s="242">
        <f t="shared" si="3"/>
        <v>0</v>
      </c>
      <c r="K39" s="617">
        <v>0</v>
      </c>
      <c r="L39" s="618"/>
      <c r="M39" s="242">
        <f>SUM(M41)</f>
        <v>0</v>
      </c>
      <c r="N39" s="242">
        <f>SUM(N41)</f>
        <v>0</v>
      </c>
      <c r="O39" s="160"/>
    </row>
    <row r="40" spans="1:15" s="71" customFormat="1" ht="38.25">
      <c r="A40" s="316"/>
      <c r="B40" s="159"/>
      <c r="C40" s="310" t="s">
        <v>502</v>
      </c>
      <c r="D40" s="311"/>
      <c r="E40" s="312">
        <v>10000</v>
      </c>
      <c r="F40" s="312"/>
      <c r="G40" s="312"/>
      <c r="H40" s="312">
        <v>10000</v>
      </c>
      <c r="I40" s="312">
        <v>10000</v>
      </c>
      <c r="J40" s="312">
        <v>0</v>
      </c>
      <c r="K40" s="617">
        <v>0</v>
      </c>
      <c r="L40" s="618"/>
      <c r="M40" s="313">
        <v>0</v>
      </c>
      <c r="N40" s="312"/>
      <c r="O40" s="311" t="s">
        <v>503</v>
      </c>
    </row>
    <row r="41" spans="1:15" s="71" customFormat="1" ht="12.75">
      <c r="A41" s="174">
        <v>852</v>
      </c>
      <c r="B41" s="174">
        <v>85202</v>
      </c>
      <c r="C41" s="83" t="s">
        <v>227</v>
      </c>
      <c r="D41" s="174"/>
      <c r="E41" s="242">
        <f>SUM(E42:E43)</f>
        <v>50000</v>
      </c>
      <c r="F41" s="242">
        <f>SUM(F43)</f>
        <v>0</v>
      </c>
      <c r="G41" s="242">
        <f>SUM(G43)</f>
        <v>0</v>
      </c>
      <c r="H41" s="242">
        <f>SUM(H42:H43)</f>
        <v>50000</v>
      </c>
      <c r="I41" s="242">
        <f>SUM(I43)</f>
        <v>5000</v>
      </c>
      <c r="J41" s="242">
        <f>SUM(J42:J43)</f>
        <v>45000</v>
      </c>
      <c r="K41" s="617">
        <v>0</v>
      </c>
      <c r="L41" s="618"/>
      <c r="M41" s="242">
        <f>SUM(M43)</f>
        <v>0</v>
      </c>
      <c r="N41" s="242">
        <f>SUM(N43)</f>
        <v>0</v>
      </c>
      <c r="O41" s="160"/>
    </row>
    <row r="42" spans="1:15" s="71" customFormat="1" ht="38.25">
      <c r="A42" s="540"/>
      <c r="B42" s="174"/>
      <c r="C42" s="310" t="s">
        <v>361</v>
      </c>
      <c r="D42" s="311"/>
      <c r="E42" s="312">
        <v>45000</v>
      </c>
      <c r="F42" s="312"/>
      <c r="G42" s="312"/>
      <c r="H42" s="312">
        <v>45000</v>
      </c>
      <c r="I42" s="312">
        <v>0</v>
      </c>
      <c r="J42" s="312">
        <v>45000</v>
      </c>
      <c r="K42" s="617">
        <v>0</v>
      </c>
      <c r="L42" s="618"/>
      <c r="M42" s="313">
        <v>0</v>
      </c>
      <c r="N42" s="312"/>
      <c r="O42" s="311" t="s">
        <v>362</v>
      </c>
    </row>
    <row r="43" spans="1:15" s="71" customFormat="1" ht="37.5" customHeight="1">
      <c r="A43" s="540">
        <v>852</v>
      </c>
      <c r="B43" s="174">
        <v>85202</v>
      </c>
      <c r="C43" s="310" t="s">
        <v>490</v>
      </c>
      <c r="D43" s="311"/>
      <c r="E43" s="312">
        <v>5000</v>
      </c>
      <c r="F43" s="312"/>
      <c r="G43" s="312"/>
      <c r="H43" s="312">
        <v>5000</v>
      </c>
      <c r="I43" s="312">
        <v>5000</v>
      </c>
      <c r="J43" s="312">
        <v>0</v>
      </c>
      <c r="K43" s="617">
        <v>0</v>
      </c>
      <c r="L43" s="618"/>
      <c r="M43" s="313">
        <v>0</v>
      </c>
      <c r="N43" s="312"/>
      <c r="O43" s="311" t="s">
        <v>479</v>
      </c>
    </row>
    <row r="44" spans="1:15" s="84" customFormat="1" ht="22.5" customHeight="1">
      <c r="A44" s="623" t="s">
        <v>82</v>
      </c>
      <c r="B44" s="624"/>
      <c r="C44" s="610"/>
      <c r="D44" s="611"/>
      <c r="E44" s="323">
        <f aca="true" t="shared" si="4" ref="E44:J44">SUM(E41,E25,E19,E14,E39)</f>
        <v>2010300</v>
      </c>
      <c r="F44" s="323">
        <f t="shared" si="4"/>
        <v>0</v>
      </c>
      <c r="G44" s="323">
        <f t="shared" si="4"/>
        <v>0</v>
      </c>
      <c r="H44" s="323">
        <f t="shared" si="4"/>
        <v>2010300</v>
      </c>
      <c r="I44" s="323">
        <f t="shared" si="4"/>
        <v>303273</v>
      </c>
      <c r="J44" s="323">
        <f t="shared" si="4"/>
        <v>1326427</v>
      </c>
      <c r="K44" s="621">
        <f>SUM(L25)</f>
        <v>380600</v>
      </c>
      <c r="L44" s="622"/>
      <c r="M44" s="323">
        <v>0</v>
      </c>
      <c r="N44" s="323" t="e">
        <f>SUM(N41,N25,N19,#REF!,N14)</f>
        <v>#REF!</v>
      </c>
      <c r="O44" s="238" t="s">
        <v>263</v>
      </c>
    </row>
    <row r="46" ht="12.75">
      <c r="A46" s="43" t="s">
        <v>339</v>
      </c>
    </row>
  </sheetData>
  <mergeCells count="35"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  <mergeCell ref="O10:O12"/>
    <mergeCell ref="H11:H12"/>
    <mergeCell ref="I11:M11"/>
    <mergeCell ref="N11:N12"/>
    <mergeCell ref="K12:L12"/>
    <mergeCell ref="K13:L13"/>
    <mergeCell ref="K14:L14"/>
    <mergeCell ref="A44:D44"/>
    <mergeCell ref="K19:L19"/>
    <mergeCell ref="K22:L22"/>
    <mergeCell ref="K23:L23"/>
    <mergeCell ref="K24:L24"/>
    <mergeCell ref="K41:L41"/>
    <mergeCell ref="K43:L43"/>
    <mergeCell ref="K44:L44"/>
    <mergeCell ref="O27:O38"/>
    <mergeCell ref="K42:L42"/>
    <mergeCell ref="O15:O18"/>
    <mergeCell ref="K17:L17"/>
    <mergeCell ref="K18:L18"/>
    <mergeCell ref="K15:L15"/>
    <mergeCell ref="K39:L39"/>
    <mergeCell ref="K16:L16"/>
    <mergeCell ref="K40:L40"/>
    <mergeCell ref="O20:O24"/>
  </mergeCells>
  <printOptions/>
  <pageMargins left="1.12" right="0.2" top="1.13" bottom="0.76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D1">
      <selection activeCell="Q2" sqref="Q2"/>
    </sheetView>
  </sheetViews>
  <sheetFormatPr defaultColWidth="9.00390625" defaultRowHeight="12.75"/>
  <cols>
    <col min="1" max="1" width="3.625" style="87" bestFit="1" customWidth="1"/>
    <col min="2" max="2" width="19.125" style="87" customWidth="1"/>
    <col min="3" max="3" width="11.125" style="87" customWidth="1"/>
    <col min="4" max="4" width="9.25390625" style="87" customWidth="1"/>
    <col min="5" max="5" width="10.25390625" style="87" customWidth="1"/>
    <col min="6" max="6" width="8.375" style="87" customWidth="1"/>
    <col min="7" max="7" width="8.625" style="87" customWidth="1"/>
    <col min="8" max="8" width="7.75390625" style="87" customWidth="1"/>
    <col min="9" max="9" width="8.75390625" style="87" customWidth="1"/>
    <col min="10" max="10" width="8.00390625" style="87" customWidth="1"/>
    <col min="11" max="11" width="7.00390625" style="87" bestFit="1" customWidth="1"/>
    <col min="12" max="12" width="8.875" style="87" bestFit="1" customWidth="1"/>
    <col min="13" max="13" width="8.125" style="87" customWidth="1"/>
    <col min="14" max="14" width="12.375" style="87" customWidth="1"/>
    <col min="15" max="15" width="7.75390625" style="87" customWidth="1"/>
    <col min="16" max="16" width="7.00390625" style="87" bestFit="1" customWidth="1"/>
    <col min="17" max="17" width="7.875" style="87" bestFit="1" customWidth="1"/>
    <col min="18" max="16384" width="10.25390625" style="87" customWidth="1"/>
  </cols>
  <sheetData>
    <row r="1" ht="14.25">
      <c r="Q1" s="414" t="s">
        <v>467</v>
      </c>
    </row>
    <row r="2" ht="14.25">
      <c r="Q2" s="44" t="s">
        <v>506</v>
      </c>
    </row>
    <row r="3" ht="14.25">
      <c r="Q3" s="44" t="s">
        <v>504</v>
      </c>
    </row>
    <row r="4" ht="11.25" customHeight="1"/>
    <row r="5" spans="1:17" ht="14.25" customHeight="1">
      <c r="A5" s="659" t="s">
        <v>50</v>
      </c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</row>
    <row r="7" spans="1:17" s="125" customFormat="1" ht="9.75" customHeight="1">
      <c r="A7" s="660" t="s">
        <v>110</v>
      </c>
      <c r="B7" s="660" t="s">
        <v>264</v>
      </c>
      <c r="C7" s="661" t="s">
        <v>265</v>
      </c>
      <c r="D7" s="661" t="s">
        <v>266</v>
      </c>
      <c r="E7" s="661" t="s">
        <v>267</v>
      </c>
      <c r="F7" s="660" t="s">
        <v>268</v>
      </c>
      <c r="G7" s="660"/>
      <c r="H7" s="660" t="s">
        <v>126</v>
      </c>
      <c r="I7" s="660"/>
      <c r="J7" s="660"/>
      <c r="K7" s="660"/>
      <c r="L7" s="660"/>
      <c r="M7" s="660"/>
      <c r="N7" s="660"/>
      <c r="O7" s="660"/>
      <c r="P7" s="660"/>
      <c r="Q7" s="660"/>
    </row>
    <row r="8" spans="1:17" s="125" customFormat="1" ht="9" customHeight="1">
      <c r="A8" s="660"/>
      <c r="B8" s="660"/>
      <c r="C8" s="661"/>
      <c r="D8" s="661"/>
      <c r="E8" s="661"/>
      <c r="F8" s="661" t="s">
        <v>269</v>
      </c>
      <c r="G8" s="661" t="s">
        <v>270</v>
      </c>
      <c r="H8" s="660" t="s">
        <v>290</v>
      </c>
      <c r="I8" s="660"/>
      <c r="J8" s="660"/>
      <c r="K8" s="660"/>
      <c r="L8" s="660"/>
      <c r="M8" s="660"/>
      <c r="N8" s="660"/>
      <c r="O8" s="660"/>
      <c r="P8" s="660"/>
      <c r="Q8" s="660"/>
    </row>
    <row r="9" spans="1:17" s="125" customFormat="1" ht="9.75" customHeight="1">
      <c r="A9" s="660"/>
      <c r="B9" s="660"/>
      <c r="C9" s="661"/>
      <c r="D9" s="661"/>
      <c r="E9" s="661"/>
      <c r="F9" s="661"/>
      <c r="G9" s="661"/>
      <c r="H9" s="661" t="s">
        <v>271</v>
      </c>
      <c r="I9" s="660" t="s">
        <v>272</v>
      </c>
      <c r="J9" s="660"/>
      <c r="K9" s="660"/>
      <c r="L9" s="660"/>
      <c r="M9" s="660"/>
      <c r="N9" s="660"/>
      <c r="O9" s="660"/>
      <c r="P9" s="660"/>
      <c r="Q9" s="660"/>
    </row>
    <row r="10" spans="1:17" s="125" customFormat="1" ht="12" customHeight="1">
      <c r="A10" s="660"/>
      <c r="B10" s="660"/>
      <c r="C10" s="661"/>
      <c r="D10" s="661"/>
      <c r="E10" s="661"/>
      <c r="F10" s="661"/>
      <c r="G10" s="661"/>
      <c r="H10" s="661"/>
      <c r="I10" s="660" t="s">
        <v>273</v>
      </c>
      <c r="J10" s="660"/>
      <c r="K10" s="660"/>
      <c r="L10" s="660"/>
      <c r="M10" s="660" t="s">
        <v>270</v>
      </c>
      <c r="N10" s="660"/>
      <c r="O10" s="660"/>
      <c r="P10" s="660"/>
      <c r="Q10" s="660"/>
    </row>
    <row r="11" spans="1:17" s="125" customFormat="1" ht="9" customHeight="1">
      <c r="A11" s="660"/>
      <c r="B11" s="660"/>
      <c r="C11" s="661"/>
      <c r="D11" s="661"/>
      <c r="E11" s="661"/>
      <c r="F11" s="661"/>
      <c r="G11" s="661"/>
      <c r="H11" s="661"/>
      <c r="I11" s="661" t="s">
        <v>274</v>
      </c>
      <c r="J11" s="660" t="s">
        <v>275</v>
      </c>
      <c r="K11" s="660"/>
      <c r="L11" s="660"/>
      <c r="M11" s="661" t="s">
        <v>276</v>
      </c>
      <c r="N11" s="661" t="s">
        <v>275</v>
      </c>
      <c r="O11" s="661"/>
      <c r="P11" s="661"/>
      <c r="Q11" s="661"/>
    </row>
    <row r="12" spans="1:17" s="125" customFormat="1" ht="34.5" customHeight="1">
      <c r="A12" s="660"/>
      <c r="B12" s="660"/>
      <c r="C12" s="661"/>
      <c r="D12" s="661"/>
      <c r="E12" s="661"/>
      <c r="F12" s="661"/>
      <c r="G12" s="661"/>
      <c r="H12" s="661"/>
      <c r="I12" s="661"/>
      <c r="J12" s="317" t="s">
        <v>277</v>
      </c>
      <c r="K12" s="317" t="s">
        <v>278</v>
      </c>
      <c r="L12" s="317" t="s">
        <v>279</v>
      </c>
      <c r="M12" s="661"/>
      <c r="N12" s="318" t="s">
        <v>280</v>
      </c>
      <c r="O12" s="317" t="s">
        <v>277</v>
      </c>
      <c r="P12" s="317" t="s">
        <v>278</v>
      </c>
      <c r="Q12" s="317" t="s">
        <v>281</v>
      </c>
    </row>
    <row r="13" spans="1:17" s="125" customFormat="1" ht="11.25">
      <c r="A13" s="319">
        <v>1</v>
      </c>
      <c r="B13" s="319">
        <v>2</v>
      </c>
      <c r="C13" s="320">
        <v>3</v>
      </c>
      <c r="D13" s="320">
        <v>4</v>
      </c>
      <c r="E13" s="320">
        <v>5</v>
      </c>
      <c r="F13" s="320">
        <v>6</v>
      </c>
      <c r="G13" s="320">
        <v>7</v>
      </c>
      <c r="H13" s="320">
        <v>8</v>
      </c>
      <c r="I13" s="320">
        <v>9</v>
      </c>
      <c r="J13" s="320">
        <v>10</v>
      </c>
      <c r="K13" s="320">
        <v>11</v>
      </c>
      <c r="L13" s="320">
        <v>12</v>
      </c>
      <c r="M13" s="320">
        <v>13</v>
      </c>
      <c r="N13" s="320">
        <v>14</v>
      </c>
      <c r="O13" s="320">
        <v>15</v>
      </c>
      <c r="P13" s="320">
        <v>16</v>
      </c>
      <c r="Q13" s="320">
        <v>17</v>
      </c>
    </row>
    <row r="14" spans="1:17" s="379" customFormat="1" ht="11.25">
      <c r="A14" s="321">
        <v>1</v>
      </c>
      <c r="B14" s="322" t="s">
        <v>282</v>
      </c>
      <c r="C14" s="665" t="s">
        <v>283</v>
      </c>
      <c r="D14" s="666"/>
      <c r="E14" s="378">
        <f>SUM(E19,E41,E81,E51,E61,E31,E71)</f>
        <v>32589284</v>
      </c>
      <c r="F14" s="378">
        <f aca="true" t="shared" si="0" ref="F14:Q14">SUM(F19,F41,F81,F51,F61,F31,F71)</f>
        <v>8833792</v>
      </c>
      <c r="G14" s="378">
        <f t="shared" si="0"/>
        <v>23755492</v>
      </c>
      <c r="H14" s="378">
        <f t="shared" si="0"/>
        <v>3781175</v>
      </c>
      <c r="I14" s="378">
        <f t="shared" si="0"/>
        <v>1919295</v>
      </c>
      <c r="J14" s="378">
        <f t="shared" si="0"/>
        <v>488500</v>
      </c>
      <c r="K14" s="378">
        <f t="shared" si="0"/>
        <v>0</v>
      </c>
      <c r="L14" s="378">
        <f t="shared" si="0"/>
        <v>1430795</v>
      </c>
      <c r="M14" s="378">
        <f t="shared" si="0"/>
        <v>1861880</v>
      </c>
      <c r="N14" s="378">
        <f t="shared" si="0"/>
        <v>0</v>
      </c>
      <c r="O14" s="378">
        <f t="shared" si="0"/>
        <v>0</v>
      </c>
      <c r="P14" s="378">
        <f t="shared" si="0"/>
        <v>0</v>
      </c>
      <c r="Q14" s="378">
        <f t="shared" si="0"/>
        <v>1861880</v>
      </c>
    </row>
    <row r="15" spans="1:17" ht="12.75">
      <c r="A15" s="634" t="s">
        <v>284</v>
      </c>
      <c r="B15" s="218" t="s">
        <v>285</v>
      </c>
      <c r="C15" s="637" t="s">
        <v>491</v>
      </c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</row>
    <row r="16" spans="1:17" ht="12.75">
      <c r="A16" s="635"/>
      <c r="B16" s="218" t="s">
        <v>286</v>
      </c>
      <c r="C16" s="639" t="s">
        <v>341</v>
      </c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3"/>
    </row>
    <row r="17" spans="1:17" ht="12.75">
      <c r="A17" s="635"/>
      <c r="B17" s="218" t="s">
        <v>287</v>
      </c>
      <c r="C17" s="639" t="s">
        <v>342</v>
      </c>
      <c r="D17" s="652"/>
      <c r="E17" s="652"/>
      <c r="F17" s="652"/>
      <c r="G17" s="652"/>
      <c r="H17" s="652"/>
      <c r="I17" s="652"/>
      <c r="J17" s="652"/>
      <c r="K17" s="652"/>
      <c r="L17" s="652"/>
      <c r="M17" s="652"/>
      <c r="N17" s="652"/>
      <c r="O17" s="652"/>
      <c r="P17" s="652"/>
      <c r="Q17" s="653"/>
    </row>
    <row r="18" spans="1:18" ht="12.75">
      <c r="A18" s="635"/>
      <c r="B18" s="218" t="s">
        <v>288</v>
      </c>
      <c r="C18" s="667" t="s">
        <v>343</v>
      </c>
      <c r="D18" s="668"/>
      <c r="E18" s="668"/>
      <c r="F18" s="668"/>
      <c r="G18" s="668"/>
      <c r="H18" s="668"/>
      <c r="I18" s="668"/>
      <c r="J18" s="668"/>
      <c r="K18" s="668"/>
      <c r="L18" s="668"/>
      <c r="M18" s="668"/>
      <c r="N18" s="668"/>
      <c r="O18" s="668"/>
      <c r="P18" s="668"/>
      <c r="Q18" s="669"/>
      <c r="R18" s="380"/>
    </row>
    <row r="19" spans="1:17" ht="11.25">
      <c r="A19" s="635"/>
      <c r="B19" s="218" t="s">
        <v>289</v>
      </c>
      <c r="C19" s="243"/>
      <c r="D19" s="232"/>
      <c r="E19" s="219">
        <f>SUM(F19:G19)</f>
        <v>15067412</v>
      </c>
      <c r="F19" s="219">
        <f>SUM(F20:F26)+260000</f>
        <v>3013482</v>
      </c>
      <c r="G19" s="219">
        <f>SUM(G20:G26)</f>
        <v>12053930</v>
      </c>
      <c r="H19" s="219">
        <f>SUM(I19,M19)</f>
        <v>388500</v>
      </c>
      <c r="I19" s="219">
        <f>J19+K19+L19</f>
        <v>388500</v>
      </c>
      <c r="J19" s="219">
        <f>SUM(F20)</f>
        <v>388500</v>
      </c>
      <c r="K19" s="219">
        <v>0</v>
      </c>
      <c r="L19" s="219">
        <v>0</v>
      </c>
      <c r="M19" s="219">
        <f>N19+O19+P19+Q19</f>
        <v>0</v>
      </c>
      <c r="N19" s="219">
        <v>0</v>
      </c>
      <c r="O19" s="219">
        <v>0</v>
      </c>
      <c r="P19" s="219">
        <v>0</v>
      </c>
      <c r="Q19" s="219">
        <v>0</v>
      </c>
    </row>
    <row r="20" spans="1:18" ht="11.25" customHeight="1">
      <c r="A20" s="635"/>
      <c r="B20" s="218" t="s">
        <v>350</v>
      </c>
      <c r="C20" s="645">
        <v>312</v>
      </c>
      <c r="D20" s="648" t="s">
        <v>302</v>
      </c>
      <c r="E20" s="219">
        <f aca="true" t="shared" si="1" ref="E20:E25">SUM(F20,G20)</f>
        <v>388500</v>
      </c>
      <c r="F20" s="219">
        <v>388500</v>
      </c>
      <c r="G20" s="219">
        <v>0</v>
      </c>
      <c r="H20" s="662"/>
      <c r="I20" s="662"/>
      <c r="J20" s="662"/>
      <c r="K20" s="662"/>
      <c r="L20" s="662"/>
      <c r="M20" s="662"/>
      <c r="N20" s="662"/>
      <c r="O20" s="662"/>
      <c r="P20" s="662"/>
      <c r="Q20" s="662"/>
      <c r="R20" s="380"/>
    </row>
    <row r="21" spans="1:17" ht="11.25">
      <c r="A21" s="635"/>
      <c r="B21" s="218" t="s">
        <v>48</v>
      </c>
      <c r="C21" s="646"/>
      <c r="D21" s="649"/>
      <c r="E21" s="219">
        <f t="shared" si="1"/>
        <v>0</v>
      </c>
      <c r="F21" s="219">
        <v>0</v>
      </c>
      <c r="G21" s="219">
        <v>0</v>
      </c>
      <c r="H21" s="663"/>
      <c r="I21" s="663"/>
      <c r="J21" s="663"/>
      <c r="K21" s="663"/>
      <c r="L21" s="663"/>
      <c r="M21" s="663"/>
      <c r="N21" s="663"/>
      <c r="O21" s="663"/>
      <c r="P21" s="663"/>
      <c r="Q21" s="663"/>
    </row>
    <row r="22" spans="1:17" ht="11.25">
      <c r="A22" s="635"/>
      <c r="B22" s="218" t="s">
        <v>49</v>
      </c>
      <c r="C22" s="646"/>
      <c r="D22" s="649"/>
      <c r="E22" s="219">
        <f t="shared" si="1"/>
        <v>1835000</v>
      </c>
      <c r="F22" s="219">
        <v>300940</v>
      </c>
      <c r="G22" s="219">
        <v>1534060</v>
      </c>
      <c r="H22" s="663"/>
      <c r="I22" s="663"/>
      <c r="J22" s="663"/>
      <c r="K22" s="663"/>
      <c r="L22" s="663"/>
      <c r="M22" s="663"/>
      <c r="N22" s="663"/>
      <c r="O22" s="663"/>
      <c r="P22" s="663"/>
      <c r="Q22" s="663"/>
    </row>
    <row r="23" spans="1:17" ht="11.25">
      <c r="A23" s="635"/>
      <c r="B23" s="218" t="s">
        <v>344</v>
      </c>
      <c r="C23" s="646"/>
      <c r="D23" s="649"/>
      <c r="E23" s="219">
        <f t="shared" si="1"/>
        <v>5771000</v>
      </c>
      <c r="F23" s="219">
        <v>946444</v>
      </c>
      <c r="G23" s="219">
        <v>4824556</v>
      </c>
      <c r="H23" s="663"/>
      <c r="I23" s="663"/>
      <c r="J23" s="663"/>
      <c r="K23" s="663"/>
      <c r="L23" s="663"/>
      <c r="M23" s="663"/>
      <c r="N23" s="663"/>
      <c r="O23" s="663"/>
      <c r="P23" s="663"/>
      <c r="Q23" s="663"/>
    </row>
    <row r="24" spans="1:17" ht="12.75" customHeight="1">
      <c r="A24" s="635"/>
      <c r="B24" s="218" t="s">
        <v>345</v>
      </c>
      <c r="C24" s="646"/>
      <c r="D24" s="649"/>
      <c r="E24" s="219">
        <f t="shared" si="1"/>
        <v>4519000</v>
      </c>
      <c r="F24" s="219">
        <v>741116</v>
      </c>
      <c r="G24" s="219">
        <v>3777884</v>
      </c>
      <c r="H24" s="663"/>
      <c r="I24" s="663"/>
      <c r="J24" s="663"/>
      <c r="K24" s="663"/>
      <c r="L24" s="663"/>
      <c r="M24" s="663"/>
      <c r="N24" s="663"/>
      <c r="O24" s="663"/>
      <c r="P24" s="663"/>
      <c r="Q24" s="663"/>
    </row>
    <row r="25" spans="1:17" ht="11.25">
      <c r="A25" s="635"/>
      <c r="B25" s="218" t="s">
        <v>346</v>
      </c>
      <c r="C25" s="646"/>
      <c r="D25" s="649"/>
      <c r="E25" s="219">
        <f t="shared" si="1"/>
        <v>2293912</v>
      </c>
      <c r="F25" s="219">
        <f>376552-70</f>
        <v>376482</v>
      </c>
      <c r="G25" s="219">
        <v>1917430</v>
      </c>
      <c r="H25" s="663"/>
      <c r="I25" s="663"/>
      <c r="J25" s="663"/>
      <c r="K25" s="663"/>
      <c r="L25" s="663"/>
      <c r="M25" s="663"/>
      <c r="N25" s="663"/>
      <c r="O25" s="663"/>
      <c r="P25" s="663"/>
      <c r="Q25" s="663"/>
    </row>
    <row r="26" spans="1:17" ht="11.25">
      <c r="A26" s="636"/>
      <c r="B26" s="218" t="s">
        <v>346</v>
      </c>
      <c r="C26" s="647"/>
      <c r="D26" s="650"/>
      <c r="E26" s="219"/>
      <c r="F26" s="219"/>
      <c r="G26" s="219"/>
      <c r="H26" s="664"/>
      <c r="I26" s="664"/>
      <c r="J26" s="664"/>
      <c r="K26" s="664"/>
      <c r="L26" s="664"/>
      <c r="M26" s="664"/>
      <c r="N26" s="664"/>
      <c r="O26" s="664"/>
      <c r="P26" s="664"/>
      <c r="Q26" s="664"/>
    </row>
    <row r="27" spans="1:17" ht="12.75">
      <c r="A27" s="634" t="s">
        <v>478</v>
      </c>
      <c r="B27" s="220" t="s">
        <v>285</v>
      </c>
      <c r="C27" s="637" t="s">
        <v>491</v>
      </c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</row>
    <row r="28" spans="1:17" ht="12.75">
      <c r="A28" s="635"/>
      <c r="B28" s="220" t="s">
        <v>286</v>
      </c>
      <c r="C28" s="639" t="s">
        <v>341</v>
      </c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3"/>
    </row>
    <row r="29" spans="1:17" ht="12.75">
      <c r="A29" s="635"/>
      <c r="B29" s="220" t="s">
        <v>287</v>
      </c>
      <c r="C29" s="639" t="s">
        <v>476</v>
      </c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3"/>
    </row>
    <row r="30" spans="1:17" ht="12.75">
      <c r="A30" s="635"/>
      <c r="B30" s="220" t="s">
        <v>288</v>
      </c>
      <c r="C30" s="639" t="s">
        <v>492</v>
      </c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1"/>
    </row>
    <row r="31" spans="1:17" ht="11.25">
      <c r="A31" s="635"/>
      <c r="B31" s="220" t="s">
        <v>289</v>
      </c>
      <c r="C31" s="126"/>
      <c r="D31" s="126"/>
      <c r="E31" s="219">
        <f>SUM(F31:G31)</f>
        <v>4721589</v>
      </c>
      <c r="F31" s="219">
        <v>1517058</v>
      </c>
      <c r="G31" s="219">
        <f>SUM(G32:G35)</f>
        <v>3204531</v>
      </c>
      <c r="H31" s="219">
        <f>SUM(I31,M31)</f>
        <v>10980</v>
      </c>
      <c r="I31" s="219">
        <f>J31+K31+L31</f>
        <v>10980</v>
      </c>
      <c r="J31" s="219">
        <v>0</v>
      </c>
      <c r="K31" s="219">
        <v>0</v>
      </c>
      <c r="L31" s="219">
        <f>50000-39020</f>
        <v>10980</v>
      </c>
      <c r="M31" s="219">
        <f>N31+O31+P31+Q31</f>
        <v>0</v>
      </c>
      <c r="N31" s="219">
        <v>0</v>
      </c>
      <c r="O31" s="219"/>
      <c r="P31" s="219">
        <v>0</v>
      </c>
      <c r="Q31" s="219">
        <v>0</v>
      </c>
    </row>
    <row r="32" spans="1:17" ht="11.25">
      <c r="A32" s="635"/>
      <c r="B32" s="220" t="s">
        <v>350</v>
      </c>
      <c r="C32" s="645">
        <v>312</v>
      </c>
      <c r="D32" s="648" t="s">
        <v>302</v>
      </c>
      <c r="E32" s="219">
        <f>SUM(F32,G32)</f>
        <v>10980</v>
      </c>
      <c r="F32" s="219">
        <f>SUM(L31)</f>
        <v>10980</v>
      </c>
      <c r="G32" s="219">
        <f>SUM(M31)</f>
        <v>0</v>
      </c>
      <c r="H32" s="656"/>
      <c r="I32" s="656"/>
      <c r="J32" s="656"/>
      <c r="K32" s="656"/>
      <c r="L32" s="656"/>
      <c r="M32" s="656"/>
      <c r="N32" s="656"/>
      <c r="O32" s="656"/>
      <c r="P32" s="656"/>
      <c r="Q32" s="656"/>
    </row>
    <row r="33" spans="1:17" ht="11.25">
      <c r="A33" s="635"/>
      <c r="B33" s="220" t="s">
        <v>48</v>
      </c>
      <c r="C33" s="646"/>
      <c r="D33" s="649"/>
      <c r="E33" s="219">
        <f>SUM(F33,G33)</f>
        <v>4701396</v>
      </c>
      <c r="F33" s="219">
        <v>1496865</v>
      </c>
      <c r="G33" s="219">
        <f>3204531</f>
        <v>3204531</v>
      </c>
      <c r="H33" s="657"/>
      <c r="I33" s="657"/>
      <c r="J33" s="657"/>
      <c r="K33" s="657"/>
      <c r="L33" s="657"/>
      <c r="M33" s="657"/>
      <c r="N33" s="657"/>
      <c r="O33" s="657"/>
      <c r="P33" s="657"/>
      <c r="Q33" s="657"/>
    </row>
    <row r="34" spans="1:17" ht="11.25">
      <c r="A34" s="635"/>
      <c r="B34" s="220" t="s">
        <v>49</v>
      </c>
      <c r="C34" s="646"/>
      <c r="D34" s="649"/>
      <c r="E34" s="219">
        <f>SUM(F34,G34)</f>
        <v>0</v>
      </c>
      <c r="F34" s="219"/>
      <c r="G34" s="219"/>
      <c r="H34" s="657"/>
      <c r="I34" s="657"/>
      <c r="J34" s="657"/>
      <c r="K34" s="657"/>
      <c r="L34" s="657"/>
      <c r="M34" s="657"/>
      <c r="N34" s="657"/>
      <c r="O34" s="657"/>
      <c r="P34" s="657"/>
      <c r="Q34" s="657"/>
    </row>
    <row r="35" spans="1:17" ht="11.25">
      <c r="A35" s="635"/>
      <c r="B35" s="220" t="s">
        <v>344</v>
      </c>
      <c r="C35" s="646"/>
      <c r="D35" s="649"/>
      <c r="E35" s="219">
        <f>SUM(F35,G35)</f>
        <v>0</v>
      </c>
      <c r="F35" s="219"/>
      <c r="G35" s="219"/>
      <c r="H35" s="658"/>
      <c r="I35" s="658"/>
      <c r="J35" s="658"/>
      <c r="K35" s="658"/>
      <c r="L35" s="658"/>
      <c r="M35" s="658"/>
      <c r="N35" s="658"/>
      <c r="O35" s="658"/>
      <c r="P35" s="658"/>
      <c r="Q35" s="658"/>
    </row>
    <row r="36" spans="1:17" ht="11.25">
      <c r="A36" s="636"/>
      <c r="B36" s="220" t="s">
        <v>345</v>
      </c>
      <c r="C36" s="647"/>
      <c r="D36" s="650"/>
      <c r="E36" s="127"/>
      <c r="F36" s="127"/>
      <c r="G36" s="127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7" spans="1:17" s="125" customFormat="1" ht="12.75">
      <c r="A37" s="634" t="s">
        <v>291</v>
      </c>
      <c r="B37" s="220" t="s">
        <v>285</v>
      </c>
      <c r="C37" s="637" t="s">
        <v>491</v>
      </c>
      <c r="D37" s="651"/>
      <c r="E37" s="651"/>
      <c r="F37" s="651"/>
      <c r="G37" s="651"/>
      <c r="H37" s="651"/>
      <c r="I37" s="651"/>
      <c r="J37" s="651"/>
      <c r="K37" s="651"/>
      <c r="L37" s="651"/>
      <c r="M37" s="651"/>
      <c r="N37" s="651"/>
      <c r="O37" s="651"/>
      <c r="P37" s="651"/>
      <c r="Q37" s="651"/>
    </row>
    <row r="38" spans="1:17" s="125" customFormat="1" ht="15" customHeight="1">
      <c r="A38" s="635"/>
      <c r="B38" s="220" t="s">
        <v>286</v>
      </c>
      <c r="C38" s="639" t="s">
        <v>341</v>
      </c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653"/>
    </row>
    <row r="39" spans="1:17" s="125" customFormat="1" ht="11.25" customHeight="1">
      <c r="A39" s="635"/>
      <c r="B39" s="220" t="s">
        <v>287</v>
      </c>
      <c r="C39" s="639" t="s">
        <v>342</v>
      </c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3"/>
    </row>
    <row r="40" spans="1:17" s="125" customFormat="1" ht="12.75">
      <c r="A40" s="636"/>
      <c r="B40" s="220" t="s">
        <v>288</v>
      </c>
      <c r="C40" s="642" t="s">
        <v>371</v>
      </c>
      <c r="D40" s="643"/>
      <c r="E40" s="643"/>
      <c r="F40" s="643"/>
      <c r="G40" s="643"/>
      <c r="H40" s="643"/>
      <c r="I40" s="643"/>
      <c r="J40" s="643"/>
      <c r="K40" s="643"/>
      <c r="L40" s="643"/>
      <c r="M40" s="643"/>
      <c r="N40" s="643"/>
      <c r="O40" s="643"/>
      <c r="P40" s="643"/>
      <c r="Q40" s="644"/>
    </row>
    <row r="41" spans="1:17" s="125" customFormat="1" ht="11.25">
      <c r="A41" s="634" t="s">
        <v>291</v>
      </c>
      <c r="B41" s="220" t="s">
        <v>289</v>
      </c>
      <c r="C41" s="126"/>
      <c r="D41" s="126"/>
      <c r="E41" s="219">
        <f>SUM(E42:E45)</f>
        <v>2890720</v>
      </c>
      <c r="F41" s="219">
        <f>SUM(F42:F45)</f>
        <v>658144</v>
      </c>
      <c r="G41" s="219">
        <f>SUM(G42:G45)</f>
        <v>2232576</v>
      </c>
      <c r="H41" s="219">
        <f>SUM(I41,M41)</f>
        <v>100000</v>
      </c>
      <c r="I41" s="219">
        <f>J41+K41+L41</f>
        <v>100000</v>
      </c>
      <c r="J41" s="219">
        <f>SUM(F42)</f>
        <v>100000</v>
      </c>
      <c r="K41" s="219">
        <v>0</v>
      </c>
      <c r="L41" s="219">
        <v>0</v>
      </c>
      <c r="M41" s="219">
        <f>N41+O41+P41+Q41</f>
        <v>0</v>
      </c>
      <c r="N41" s="219">
        <v>0</v>
      </c>
      <c r="O41" s="219"/>
      <c r="P41" s="219">
        <v>0</v>
      </c>
      <c r="Q41" s="219">
        <v>0</v>
      </c>
    </row>
    <row r="42" spans="1:17" s="125" customFormat="1" ht="11.25">
      <c r="A42" s="635"/>
      <c r="B42" s="220" t="s">
        <v>350</v>
      </c>
      <c r="C42" s="645">
        <v>312</v>
      </c>
      <c r="D42" s="648" t="s">
        <v>302</v>
      </c>
      <c r="E42" s="219">
        <f>SUM(F42,G42)</f>
        <v>100000</v>
      </c>
      <c r="F42" s="219">
        <v>100000</v>
      </c>
      <c r="G42" s="219">
        <v>0</v>
      </c>
      <c r="H42" s="656"/>
      <c r="I42" s="656"/>
      <c r="J42" s="656"/>
      <c r="K42" s="656"/>
      <c r="L42" s="656"/>
      <c r="M42" s="656"/>
      <c r="N42" s="656"/>
      <c r="O42" s="656"/>
      <c r="P42" s="656"/>
      <c r="Q42" s="656"/>
    </row>
    <row r="43" spans="1:17" s="125" customFormat="1" ht="11.25">
      <c r="A43" s="635"/>
      <c r="B43" s="220" t="s">
        <v>48</v>
      </c>
      <c r="C43" s="646"/>
      <c r="D43" s="649"/>
      <c r="E43" s="219">
        <f>SUM(F43,G43)</f>
        <v>930000</v>
      </c>
      <c r="F43" s="219">
        <v>186000</v>
      </c>
      <c r="G43" s="219">
        <v>744000</v>
      </c>
      <c r="H43" s="657"/>
      <c r="I43" s="657"/>
      <c r="J43" s="657"/>
      <c r="K43" s="657"/>
      <c r="L43" s="657"/>
      <c r="M43" s="657"/>
      <c r="N43" s="657"/>
      <c r="O43" s="657"/>
      <c r="P43" s="657"/>
      <c r="Q43" s="657"/>
    </row>
    <row r="44" spans="1:17" s="125" customFormat="1" ht="11.25">
      <c r="A44" s="635"/>
      <c r="B44" s="220" t="s">
        <v>49</v>
      </c>
      <c r="C44" s="646"/>
      <c r="D44" s="649"/>
      <c r="E44" s="219">
        <f>SUM(F44,G44)</f>
        <v>930000</v>
      </c>
      <c r="F44" s="219">
        <v>186000</v>
      </c>
      <c r="G44" s="219">
        <v>744000</v>
      </c>
      <c r="H44" s="657"/>
      <c r="I44" s="657"/>
      <c r="J44" s="657"/>
      <c r="K44" s="657"/>
      <c r="L44" s="657"/>
      <c r="M44" s="657"/>
      <c r="N44" s="657"/>
      <c r="O44" s="657"/>
      <c r="P44" s="657"/>
      <c r="Q44" s="657"/>
    </row>
    <row r="45" spans="1:17" s="125" customFormat="1" ht="11.25">
      <c r="A45" s="635"/>
      <c r="B45" s="220" t="s">
        <v>344</v>
      </c>
      <c r="C45" s="646"/>
      <c r="D45" s="649"/>
      <c r="E45" s="219">
        <f>SUM(F45,G45)</f>
        <v>930720</v>
      </c>
      <c r="F45" s="219">
        <v>186144</v>
      </c>
      <c r="G45" s="219">
        <v>744576</v>
      </c>
      <c r="H45" s="658"/>
      <c r="I45" s="658"/>
      <c r="J45" s="658"/>
      <c r="K45" s="658"/>
      <c r="L45" s="658"/>
      <c r="M45" s="658"/>
      <c r="N45" s="658"/>
      <c r="O45" s="658"/>
      <c r="P45" s="658"/>
      <c r="Q45" s="658"/>
    </row>
    <row r="46" spans="1:17" s="125" customFormat="1" ht="11.25">
      <c r="A46" s="636"/>
      <c r="B46" s="220" t="s">
        <v>345</v>
      </c>
      <c r="C46" s="647"/>
      <c r="D46" s="650"/>
      <c r="E46" s="127"/>
      <c r="F46" s="127"/>
      <c r="G46" s="127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s="125" customFormat="1" ht="12.75">
      <c r="A47" s="634" t="s">
        <v>296</v>
      </c>
      <c r="B47" s="220" t="s">
        <v>285</v>
      </c>
      <c r="C47" s="637" t="s">
        <v>491</v>
      </c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</row>
    <row r="48" spans="1:17" s="125" customFormat="1" ht="11.25" customHeight="1">
      <c r="A48" s="635"/>
      <c r="B48" s="220" t="s">
        <v>286</v>
      </c>
      <c r="C48" s="639" t="s">
        <v>341</v>
      </c>
      <c r="D48" s="652"/>
      <c r="E48" s="652"/>
      <c r="F48" s="652"/>
      <c r="G48" s="652"/>
      <c r="H48" s="652"/>
      <c r="I48" s="652"/>
      <c r="J48" s="652"/>
      <c r="K48" s="652"/>
      <c r="L48" s="652"/>
      <c r="M48" s="652"/>
      <c r="N48" s="652"/>
      <c r="O48" s="652"/>
      <c r="P48" s="652"/>
      <c r="Q48" s="653"/>
    </row>
    <row r="49" spans="1:17" s="125" customFormat="1" ht="12.75">
      <c r="A49" s="635"/>
      <c r="B49" s="220" t="s">
        <v>287</v>
      </c>
      <c r="C49" s="639" t="s">
        <v>342</v>
      </c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3"/>
    </row>
    <row r="50" spans="1:17" s="125" customFormat="1" ht="12.75">
      <c r="A50" s="635"/>
      <c r="B50" s="220" t="s">
        <v>288</v>
      </c>
      <c r="C50" s="642" t="s">
        <v>347</v>
      </c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5"/>
    </row>
    <row r="51" spans="1:17" s="125" customFormat="1" ht="11.25">
      <c r="A51" s="635"/>
      <c r="B51" s="220" t="s">
        <v>289</v>
      </c>
      <c r="C51" s="645">
        <v>312</v>
      </c>
      <c r="D51" s="648" t="s">
        <v>302</v>
      </c>
      <c r="E51" s="219">
        <f>SUM(F51:G51)</f>
        <v>5552030</v>
      </c>
      <c r="F51" s="219">
        <f>SUM(F52:F54)+114986</f>
        <v>1749862</v>
      </c>
      <c r="G51" s="219">
        <f>SUM(G52:G54)</f>
        <v>3802168</v>
      </c>
      <c r="H51" s="222">
        <f>SUM(I51,M51)</f>
        <v>2611880</v>
      </c>
      <c r="I51" s="222">
        <f>J51+K51+L51</f>
        <v>750000</v>
      </c>
      <c r="J51" s="222">
        <v>0</v>
      </c>
      <c r="K51" s="222">
        <v>0</v>
      </c>
      <c r="L51" s="222">
        <v>750000</v>
      </c>
      <c r="M51" s="222">
        <f>N51+O51+P51+Q51</f>
        <v>1861880</v>
      </c>
      <c r="N51" s="222">
        <v>0</v>
      </c>
      <c r="O51" s="222"/>
      <c r="P51" s="222">
        <v>0</v>
      </c>
      <c r="Q51" s="222">
        <v>1861880</v>
      </c>
    </row>
    <row r="52" spans="1:17" s="128" customFormat="1" ht="21.75" customHeight="1">
      <c r="A52" s="635"/>
      <c r="B52" s="220" t="s">
        <v>350</v>
      </c>
      <c r="C52" s="646"/>
      <c r="D52" s="649"/>
      <c r="E52" s="219">
        <f>SUM(F52:G52)</f>
        <v>2611880</v>
      </c>
      <c r="F52" s="219">
        <f>SUM(I51)</f>
        <v>750000</v>
      </c>
      <c r="G52" s="223">
        <f>SUM(M51)</f>
        <v>1861880</v>
      </c>
      <c r="H52" s="224"/>
      <c r="I52" s="224"/>
      <c r="J52" s="224"/>
      <c r="K52" s="224"/>
      <c r="L52" s="224"/>
      <c r="M52" s="225"/>
      <c r="N52" s="226"/>
      <c r="O52" s="226"/>
      <c r="P52" s="226"/>
      <c r="Q52" s="226"/>
    </row>
    <row r="53" spans="1:17" s="125" customFormat="1" ht="15" customHeight="1">
      <c r="A53" s="635"/>
      <c r="B53" s="220" t="s">
        <v>48</v>
      </c>
      <c r="C53" s="646"/>
      <c r="D53" s="649"/>
      <c r="E53" s="219">
        <f>SUM(F53,G53)</f>
        <v>2825164</v>
      </c>
      <c r="F53" s="219">
        <v>884876</v>
      </c>
      <c r="G53" s="223">
        <v>1940288</v>
      </c>
      <c r="H53" s="227"/>
      <c r="I53" s="227"/>
      <c r="J53" s="227"/>
      <c r="K53" s="227"/>
      <c r="L53" s="227"/>
      <c r="M53" s="228"/>
      <c r="N53" s="229"/>
      <c r="O53" s="229"/>
      <c r="P53" s="229"/>
      <c r="Q53" s="229"/>
    </row>
    <row r="54" spans="1:17" s="125" customFormat="1" ht="13.5" customHeight="1">
      <c r="A54" s="635"/>
      <c r="B54" s="220" t="s">
        <v>49</v>
      </c>
      <c r="C54" s="646"/>
      <c r="D54" s="649"/>
      <c r="E54" s="219">
        <f>SUM(F54,G54)</f>
        <v>0</v>
      </c>
      <c r="F54" s="219">
        <v>0</v>
      </c>
      <c r="G54" s="223">
        <v>0</v>
      </c>
      <c r="H54" s="227"/>
      <c r="I54" s="227"/>
      <c r="J54" s="227"/>
      <c r="K54" s="227"/>
      <c r="L54" s="227"/>
      <c r="M54" s="228"/>
      <c r="N54" s="229"/>
      <c r="O54" s="229"/>
      <c r="P54" s="229"/>
      <c r="Q54" s="229"/>
    </row>
    <row r="55" spans="1:17" s="125" customFormat="1" ht="12.75" customHeight="1">
      <c r="A55" s="635"/>
      <c r="B55" s="220" t="s">
        <v>344</v>
      </c>
      <c r="C55" s="646"/>
      <c r="D55" s="649"/>
      <c r="E55" s="219">
        <f>SUM(F55,G55)</f>
        <v>0</v>
      </c>
      <c r="F55" s="219">
        <v>0</v>
      </c>
      <c r="G55" s="223">
        <v>0</v>
      </c>
      <c r="H55" s="227"/>
      <c r="I55" s="227"/>
      <c r="J55" s="227"/>
      <c r="K55" s="227"/>
      <c r="L55" s="227"/>
      <c r="M55" s="228"/>
      <c r="N55" s="229"/>
      <c r="O55" s="229"/>
      <c r="P55" s="229"/>
      <c r="Q55" s="229"/>
    </row>
    <row r="56" spans="1:17" s="125" customFormat="1" ht="12.75" customHeight="1">
      <c r="A56" s="636"/>
      <c r="B56" s="220" t="s">
        <v>345</v>
      </c>
      <c r="C56" s="647"/>
      <c r="D56" s="650"/>
      <c r="E56" s="219">
        <f>SUM(F56,G56)</f>
        <v>0</v>
      </c>
      <c r="F56" s="219">
        <v>0</v>
      </c>
      <c r="G56" s="223">
        <v>0</v>
      </c>
      <c r="H56" s="230"/>
      <c r="I56" s="230"/>
      <c r="J56" s="230"/>
      <c r="K56" s="230"/>
      <c r="L56" s="230"/>
      <c r="M56" s="221"/>
      <c r="N56" s="231"/>
      <c r="O56" s="231"/>
      <c r="P56" s="231"/>
      <c r="Q56" s="231"/>
    </row>
    <row r="57" spans="1:17" s="125" customFormat="1" ht="12.75" customHeight="1">
      <c r="A57" s="634" t="s">
        <v>488</v>
      </c>
      <c r="B57" s="220" t="s">
        <v>285</v>
      </c>
      <c r="C57" s="637" t="s">
        <v>491</v>
      </c>
      <c r="D57" s="638"/>
      <c r="E57" s="638"/>
      <c r="F57" s="638"/>
      <c r="G57" s="638"/>
      <c r="H57" s="638"/>
      <c r="I57" s="638"/>
      <c r="J57" s="638"/>
      <c r="K57" s="638"/>
      <c r="L57" s="638"/>
      <c r="M57" s="638"/>
      <c r="N57" s="638"/>
      <c r="O57" s="638"/>
      <c r="P57" s="638"/>
      <c r="Q57" s="638"/>
    </row>
    <row r="58" spans="1:17" s="125" customFormat="1" ht="12.75" customHeight="1">
      <c r="A58" s="635"/>
      <c r="B58" s="220" t="s">
        <v>286</v>
      </c>
      <c r="C58" s="639" t="s">
        <v>341</v>
      </c>
      <c r="D58" s="640"/>
      <c r="E58" s="640"/>
      <c r="F58" s="640"/>
      <c r="G58" s="640"/>
      <c r="H58" s="640"/>
      <c r="I58" s="640"/>
      <c r="J58" s="640"/>
      <c r="K58" s="640"/>
      <c r="L58" s="640"/>
      <c r="M58" s="640"/>
      <c r="N58" s="640"/>
      <c r="O58" s="640"/>
      <c r="P58" s="640"/>
      <c r="Q58" s="641"/>
    </row>
    <row r="59" spans="1:17" s="125" customFormat="1" ht="12.75" customHeight="1">
      <c r="A59" s="635"/>
      <c r="B59" s="220" t="s">
        <v>287</v>
      </c>
      <c r="C59" s="639" t="s">
        <v>493</v>
      </c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1"/>
    </row>
    <row r="60" spans="1:17" s="125" customFormat="1" ht="12.75" customHeight="1">
      <c r="A60" s="635"/>
      <c r="B60" s="220" t="s">
        <v>288</v>
      </c>
      <c r="C60" s="642" t="s">
        <v>494</v>
      </c>
      <c r="D60" s="643"/>
      <c r="E60" s="643"/>
      <c r="F60" s="643"/>
      <c r="G60" s="643"/>
      <c r="H60" s="643"/>
      <c r="I60" s="643"/>
      <c r="J60" s="643"/>
      <c r="K60" s="643"/>
      <c r="L60" s="643"/>
      <c r="M60" s="643"/>
      <c r="N60" s="643"/>
      <c r="O60" s="643"/>
      <c r="P60" s="643"/>
      <c r="Q60" s="644"/>
    </row>
    <row r="61" spans="1:17" s="125" customFormat="1" ht="12.75" customHeight="1">
      <c r="A61" s="635"/>
      <c r="B61" s="220" t="s">
        <v>289</v>
      </c>
      <c r="C61" s="631">
        <v>312</v>
      </c>
      <c r="D61" s="628" t="s">
        <v>302</v>
      </c>
      <c r="E61" s="466">
        <f>SUM(F61:G61)</f>
        <v>4223548</v>
      </c>
      <c r="F61" s="466">
        <f>SUM(F62:F63)</f>
        <v>1761261</v>
      </c>
      <c r="G61" s="466">
        <f>SUM(G62:G64)</f>
        <v>2462287</v>
      </c>
      <c r="H61" s="467">
        <f>SUM(I61,M61)</f>
        <v>548000</v>
      </c>
      <c r="I61" s="467">
        <f>J61+K61+L61</f>
        <v>548000</v>
      </c>
      <c r="J61" s="467">
        <v>0</v>
      </c>
      <c r="K61" s="467">
        <v>0</v>
      </c>
      <c r="L61" s="467">
        <v>548000</v>
      </c>
      <c r="M61" s="467">
        <f>N61+O61+P61+Q61</f>
        <v>0</v>
      </c>
      <c r="N61" s="467">
        <v>0</v>
      </c>
      <c r="O61" s="467"/>
      <c r="P61" s="467">
        <v>0</v>
      </c>
      <c r="Q61" s="467">
        <v>0</v>
      </c>
    </row>
    <row r="62" spans="1:17" s="125" customFormat="1" ht="12.75" customHeight="1">
      <c r="A62" s="635"/>
      <c r="B62" s="220" t="s">
        <v>350</v>
      </c>
      <c r="C62" s="632"/>
      <c r="D62" s="629"/>
      <c r="E62" s="466">
        <f>SUM(F62:G62)</f>
        <v>548000</v>
      </c>
      <c r="F62" s="466">
        <v>548000</v>
      </c>
      <c r="G62" s="468">
        <v>0</v>
      </c>
      <c r="H62" s="469"/>
      <c r="I62" s="469"/>
      <c r="J62" s="469"/>
      <c r="K62" s="469"/>
      <c r="L62" s="469"/>
      <c r="M62" s="470"/>
      <c r="N62" s="471"/>
      <c r="O62" s="471"/>
      <c r="P62" s="471"/>
      <c r="Q62" s="471"/>
    </row>
    <row r="63" spans="1:17" s="125" customFormat="1" ht="12.75" customHeight="1">
      <c r="A63" s="635"/>
      <c r="B63" s="220" t="s">
        <v>48</v>
      </c>
      <c r="C63" s="632"/>
      <c r="D63" s="629"/>
      <c r="E63" s="466">
        <f>SUM(F63,G63)</f>
        <v>3675548</v>
      </c>
      <c r="F63" s="466">
        <f>1213267-6</f>
        <v>1213261</v>
      </c>
      <c r="G63" s="468">
        <v>2462287</v>
      </c>
      <c r="H63" s="472"/>
      <c r="I63" s="472"/>
      <c r="J63" s="472"/>
      <c r="K63" s="472"/>
      <c r="L63" s="472"/>
      <c r="M63" s="473"/>
      <c r="N63" s="474"/>
      <c r="O63" s="474"/>
      <c r="P63" s="474"/>
      <c r="Q63" s="474"/>
    </row>
    <row r="64" spans="1:17" s="125" customFormat="1" ht="12.75" customHeight="1">
      <c r="A64" s="635"/>
      <c r="B64" s="220" t="s">
        <v>49</v>
      </c>
      <c r="C64" s="632"/>
      <c r="D64" s="629"/>
      <c r="E64" s="466">
        <f>SUM(F64,G64)</f>
        <v>0</v>
      </c>
      <c r="F64" s="466">
        <v>0</v>
      </c>
      <c r="G64" s="468">
        <v>0</v>
      </c>
      <c r="H64" s="472"/>
      <c r="I64" s="472"/>
      <c r="J64" s="472"/>
      <c r="K64" s="472"/>
      <c r="L64" s="472"/>
      <c r="M64" s="473"/>
      <c r="N64" s="474"/>
      <c r="O64" s="474"/>
      <c r="P64" s="474"/>
      <c r="Q64" s="474"/>
    </row>
    <row r="65" spans="1:17" s="125" customFormat="1" ht="12.75" customHeight="1">
      <c r="A65" s="635"/>
      <c r="B65" s="220" t="s">
        <v>344</v>
      </c>
      <c r="C65" s="632"/>
      <c r="D65" s="629"/>
      <c r="E65" s="466">
        <f>SUM(F65,G65)</f>
        <v>0</v>
      </c>
      <c r="F65" s="466">
        <v>0</v>
      </c>
      <c r="G65" s="468">
        <v>0</v>
      </c>
      <c r="H65" s="472"/>
      <c r="I65" s="472"/>
      <c r="J65" s="472"/>
      <c r="K65" s="472"/>
      <c r="L65" s="472"/>
      <c r="M65" s="473"/>
      <c r="N65" s="474"/>
      <c r="O65" s="474"/>
      <c r="P65" s="474"/>
      <c r="Q65" s="474"/>
    </row>
    <row r="66" spans="1:17" s="125" customFormat="1" ht="12.75" customHeight="1">
      <c r="A66" s="636"/>
      <c r="B66" s="220" t="s">
        <v>345</v>
      </c>
      <c r="C66" s="633"/>
      <c r="D66" s="630"/>
      <c r="E66" s="466">
        <f>SUM(F66,G66)</f>
        <v>0</v>
      </c>
      <c r="F66" s="466">
        <v>0</v>
      </c>
      <c r="G66" s="468">
        <v>0</v>
      </c>
      <c r="H66" s="475"/>
      <c r="I66" s="475"/>
      <c r="J66" s="475"/>
      <c r="K66" s="475"/>
      <c r="L66" s="475"/>
      <c r="M66" s="476"/>
      <c r="N66" s="477"/>
      <c r="O66" s="477"/>
      <c r="P66" s="477"/>
      <c r="Q66" s="477"/>
    </row>
    <row r="67" spans="1:17" s="125" customFormat="1" ht="12.75">
      <c r="A67" s="634" t="s">
        <v>495</v>
      </c>
      <c r="B67" s="220" t="s">
        <v>285</v>
      </c>
      <c r="C67" s="637" t="s">
        <v>491</v>
      </c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</row>
    <row r="68" spans="1:17" s="125" customFormat="1" ht="11.25" customHeight="1">
      <c r="A68" s="635"/>
      <c r="B68" s="220" t="s">
        <v>286</v>
      </c>
      <c r="C68" s="639" t="s">
        <v>482</v>
      </c>
      <c r="D68" s="652"/>
      <c r="E68" s="652"/>
      <c r="F68" s="652"/>
      <c r="G68" s="652"/>
      <c r="H68" s="652"/>
      <c r="I68" s="652"/>
      <c r="J68" s="652"/>
      <c r="K68" s="652"/>
      <c r="L68" s="652"/>
      <c r="M68" s="652"/>
      <c r="N68" s="652"/>
      <c r="O68" s="652"/>
      <c r="P68" s="652"/>
      <c r="Q68" s="653"/>
    </row>
    <row r="69" spans="1:17" s="125" customFormat="1" ht="12.75">
      <c r="A69" s="635"/>
      <c r="B69" s="220" t="s">
        <v>287</v>
      </c>
      <c r="C69" s="639" t="s">
        <v>481</v>
      </c>
      <c r="D69" s="652"/>
      <c r="E69" s="652"/>
      <c r="F69" s="652"/>
      <c r="G69" s="652"/>
      <c r="H69" s="652"/>
      <c r="I69" s="652"/>
      <c r="J69" s="652"/>
      <c r="K69" s="652"/>
      <c r="L69" s="652"/>
      <c r="M69" s="652"/>
      <c r="N69" s="652"/>
      <c r="O69" s="652"/>
      <c r="P69" s="652"/>
      <c r="Q69" s="653"/>
    </row>
    <row r="70" spans="1:17" s="125" customFormat="1" ht="12.75">
      <c r="A70" s="635"/>
      <c r="B70" s="220" t="s">
        <v>288</v>
      </c>
      <c r="C70" s="642" t="s">
        <v>480</v>
      </c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5"/>
    </row>
    <row r="71" spans="1:17" s="125" customFormat="1" ht="11.25">
      <c r="A71" s="636"/>
      <c r="B71" s="220" t="s">
        <v>289</v>
      </c>
      <c r="C71" s="504">
        <v>57</v>
      </c>
      <c r="D71" s="505"/>
      <c r="E71" s="466">
        <f>SUM(F71:G71)</f>
        <v>12470</v>
      </c>
      <c r="F71" s="466">
        <f>SUM(F72:F73)</f>
        <v>12470</v>
      </c>
      <c r="G71" s="466">
        <f>SUM(G72:G74)</f>
        <v>0</v>
      </c>
      <c r="H71" s="466">
        <f>SUM(I71,M71)</f>
        <v>300</v>
      </c>
      <c r="I71" s="466">
        <f>J71+K71+L71</f>
        <v>300</v>
      </c>
      <c r="J71" s="466">
        <v>0</v>
      </c>
      <c r="K71" s="466">
        <v>0</v>
      </c>
      <c r="L71" s="466">
        <v>300</v>
      </c>
      <c r="M71" s="466">
        <f>N71+O71+P71+Q71</f>
        <v>0</v>
      </c>
      <c r="N71" s="466">
        <v>0</v>
      </c>
      <c r="O71" s="466"/>
      <c r="P71" s="466">
        <v>0</v>
      </c>
      <c r="Q71" s="466">
        <v>0</v>
      </c>
    </row>
    <row r="72" spans="1:17" s="128" customFormat="1" ht="21.75" customHeight="1">
      <c r="A72" s="634" t="s">
        <v>495</v>
      </c>
      <c r="B72" s="220" t="s">
        <v>350</v>
      </c>
      <c r="C72" s="631">
        <v>57</v>
      </c>
      <c r="D72" s="628" t="s">
        <v>483</v>
      </c>
      <c r="E72" s="466">
        <f>SUM(F72:G72)</f>
        <v>300</v>
      </c>
      <c r="F72" s="466">
        <f>SUM(I71)</f>
        <v>300</v>
      </c>
      <c r="G72" s="468">
        <f>SUM(M71)</f>
        <v>0</v>
      </c>
      <c r="H72" s="469"/>
      <c r="I72" s="469"/>
      <c r="J72" s="469"/>
      <c r="K72" s="469"/>
      <c r="L72" s="469"/>
      <c r="M72" s="470"/>
      <c r="N72" s="471"/>
      <c r="O72" s="471"/>
      <c r="P72" s="474"/>
      <c r="Q72" s="474"/>
    </row>
    <row r="73" spans="1:17" s="125" customFormat="1" ht="15" customHeight="1">
      <c r="A73" s="635"/>
      <c r="B73" s="220" t="s">
        <v>48</v>
      </c>
      <c r="C73" s="632"/>
      <c r="D73" s="629"/>
      <c r="E73" s="466">
        <f>SUM(F73,G73)</f>
        <v>12170</v>
      </c>
      <c r="F73" s="466">
        <v>12170</v>
      </c>
      <c r="G73" s="468">
        <v>0</v>
      </c>
      <c r="H73" s="472"/>
      <c r="I73" s="472"/>
      <c r="J73" s="472"/>
      <c r="K73" s="472"/>
      <c r="L73" s="472"/>
      <c r="M73" s="473"/>
      <c r="N73" s="474"/>
      <c r="O73" s="474"/>
      <c r="P73" s="474"/>
      <c r="Q73" s="474"/>
    </row>
    <row r="74" spans="1:17" s="125" customFormat="1" ht="13.5" customHeight="1">
      <c r="A74" s="635"/>
      <c r="B74" s="220" t="s">
        <v>49</v>
      </c>
      <c r="C74" s="632"/>
      <c r="D74" s="629"/>
      <c r="E74" s="466">
        <f>SUM(F74,G74)</f>
        <v>0</v>
      </c>
      <c r="F74" s="466">
        <v>0</v>
      </c>
      <c r="G74" s="468">
        <v>0</v>
      </c>
      <c r="H74" s="472"/>
      <c r="I74" s="472"/>
      <c r="J74" s="472"/>
      <c r="K74" s="472"/>
      <c r="L74" s="472"/>
      <c r="M74" s="473"/>
      <c r="N74" s="474"/>
      <c r="O74" s="474"/>
      <c r="P74" s="474"/>
      <c r="Q74" s="474"/>
    </row>
    <row r="75" spans="1:17" s="125" customFormat="1" ht="12.75" customHeight="1">
      <c r="A75" s="635"/>
      <c r="B75" s="220" t="s">
        <v>344</v>
      </c>
      <c r="C75" s="632"/>
      <c r="D75" s="629"/>
      <c r="E75" s="466">
        <f>SUM(F75,G75)</f>
        <v>0</v>
      </c>
      <c r="F75" s="466">
        <v>0</v>
      </c>
      <c r="G75" s="468">
        <v>0</v>
      </c>
      <c r="H75" s="472"/>
      <c r="I75" s="472"/>
      <c r="J75" s="472"/>
      <c r="K75" s="472"/>
      <c r="L75" s="472"/>
      <c r="M75" s="473"/>
      <c r="N75" s="474"/>
      <c r="O75" s="474"/>
      <c r="P75" s="474"/>
      <c r="Q75" s="474"/>
    </row>
    <row r="76" spans="1:17" s="125" customFormat="1" ht="12.75" customHeight="1">
      <c r="A76" s="636"/>
      <c r="B76" s="220" t="s">
        <v>345</v>
      </c>
      <c r="C76" s="633"/>
      <c r="D76" s="630"/>
      <c r="E76" s="466">
        <f>SUM(F76,G76)</f>
        <v>0</v>
      </c>
      <c r="F76" s="466">
        <v>0</v>
      </c>
      <c r="G76" s="468">
        <v>0</v>
      </c>
      <c r="H76" s="475"/>
      <c r="I76" s="475"/>
      <c r="J76" s="475"/>
      <c r="K76" s="475"/>
      <c r="L76" s="475"/>
      <c r="M76" s="476"/>
      <c r="N76" s="477"/>
      <c r="O76" s="477"/>
      <c r="P76" s="477"/>
      <c r="Q76" s="477"/>
    </row>
    <row r="77" spans="1:17" s="125" customFormat="1" ht="12.75">
      <c r="A77" s="634" t="s">
        <v>495</v>
      </c>
      <c r="B77" s="220" t="s">
        <v>285</v>
      </c>
      <c r="C77" s="637" t="s">
        <v>1</v>
      </c>
      <c r="D77" s="651"/>
      <c r="E77" s="651"/>
      <c r="F77" s="651"/>
      <c r="G77" s="651"/>
      <c r="H77" s="651"/>
      <c r="I77" s="651"/>
      <c r="J77" s="651"/>
      <c r="K77" s="651"/>
      <c r="L77" s="651"/>
      <c r="M77" s="651"/>
      <c r="N77" s="651"/>
      <c r="O77" s="651"/>
      <c r="P77" s="651"/>
      <c r="Q77" s="651"/>
    </row>
    <row r="78" spans="1:17" s="125" customFormat="1" ht="11.25" customHeight="1">
      <c r="A78" s="635"/>
      <c r="B78" s="220" t="s">
        <v>286</v>
      </c>
      <c r="C78" s="639" t="s">
        <v>2</v>
      </c>
      <c r="D78" s="652"/>
      <c r="E78" s="652"/>
      <c r="F78" s="652"/>
      <c r="G78" s="652"/>
      <c r="H78" s="652"/>
      <c r="I78" s="652"/>
      <c r="J78" s="652"/>
      <c r="K78" s="652"/>
      <c r="L78" s="652"/>
      <c r="M78" s="652"/>
      <c r="N78" s="652"/>
      <c r="O78" s="652"/>
      <c r="P78" s="652"/>
      <c r="Q78" s="653"/>
    </row>
    <row r="79" spans="1:17" s="125" customFormat="1" ht="12.75">
      <c r="A79" s="635"/>
      <c r="B79" s="220" t="s">
        <v>287</v>
      </c>
      <c r="C79" s="639"/>
      <c r="D79" s="652"/>
      <c r="E79" s="652"/>
      <c r="F79" s="652"/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3"/>
    </row>
    <row r="80" spans="1:17" s="125" customFormat="1" ht="12.75">
      <c r="A80" s="635"/>
      <c r="B80" s="220" t="s">
        <v>288</v>
      </c>
      <c r="C80" s="642" t="s">
        <v>3</v>
      </c>
      <c r="D80" s="654"/>
      <c r="E80" s="654"/>
      <c r="F80" s="654"/>
      <c r="G80" s="654"/>
      <c r="H80" s="654"/>
      <c r="I80" s="654"/>
      <c r="J80" s="654"/>
      <c r="K80" s="654"/>
      <c r="L80" s="654"/>
      <c r="M80" s="654"/>
      <c r="N80" s="654"/>
      <c r="O80" s="654"/>
      <c r="P80" s="654"/>
      <c r="Q80" s="655"/>
    </row>
    <row r="81" spans="1:17" s="125" customFormat="1" ht="11.25">
      <c r="A81" s="636"/>
      <c r="B81" s="220" t="s">
        <v>289</v>
      </c>
      <c r="C81" s="521"/>
      <c r="D81" s="505"/>
      <c r="E81" s="466">
        <f>SUM(F81:G81)</f>
        <v>121515</v>
      </c>
      <c r="F81" s="466">
        <f>SUM(F82:F83)</f>
        <v>121515</v>
      </c>
      <c r="G81" s="466">
        <f>SUM(G82:G84)</f>
        <v>0</v>
      </c>
      <c r="H81" s="466">
        <f>SUM(I81,M81)</f>
        <v>121515</v>
      </c>
      <c r="I81" s="466">
        <f>J81+K81+L81</f>
        <v>121515</v>
      </c>
      <c r="J81" s="466">
        <v>0</v>
      </c>
      <c r="K81" s="466">
        <v>0</v>
      </c>
      <c r="L81" s="466">
        <v>121515</v>
      </c>
      <c r="M81" s="466">
        <f>N81+O81+P81+Q81</f>
        <v>0</v>
      </c>
      <c r="N81" s="466">
        <v>0</v>
      </c>
      <c r="O81" s="466"/>
      <c r="P81" s="466">
        <v>0</v>
      </c>
      <c r="Q81" s="466">
        <v>0</v>
      </c>
    </row>
    <row r="82" spans="1:17" s="128" customFormat="1" ht="21.75" customHeight="1">
      <c r="A82" s="634" t="s">
        <v>495</v>
      </c>
      <c r="B82" s="220" t="s">
        <v>350</v>
      </c>
      <c r="C82" s="625"/>
      <c r="D82" s="628" t="s">
        <v>0</v>
      </c>
      <c r="E82" s="466">
        <f>SUM(F82:G82)</f>
        <v>121515</v>
      </c>
      <c r="F82" s="466">
        <f>SUM(I81)</f>
        <v>121515</v>
      </c>
      <c r="G82" s="468">
        <f>SUM(M81)</f>
        <v>0</v>
      </c>
      <c r="H82" s="469"/>
      <c r="I82" s="469"/>
      <c r="J82" s="469"/>
      <c r="K82" s="469"/>
      <c r="L82" s="469"/>
      <c r="M82" s="470"/>
      <c r="N82" s="471"/>
      <c r="O82" s="471"/>
      <c r="P82" s="474"/>
      <c r="Q82" s="474"/>
    </row>
    <row r="83" spans="1:17" s="125" customFormat="1" ht="15" customHeight="1">
      <c r="A83" s="635"/>
      <c r="B83" s="220" t="s">
        <v>48</v>
      </c>
      <c r="C83" s="626"/>
      <c r="D83" s="629"/>
      <c r="E83" s="466">
        <f>SUM(F83,G83)</f>
        <v>0</v>
      </c>
      <c r="F83" s="466">
        <v>0</v>
      </c>
      <c r="G83" s="468">
        <v>0</v>
      </c>
      <c r="H83" s="472"/>
      <c r="I83" s="472"/>
      <c r="J83" s="472"/>
      <c r="K83" s="472"/>
      <c r="L83" s="472"/>
      <c r="M83" s="473"/>
      <c r="N83" s="474"/>
      <c r="O83" s="474"/>
      <c r="P83" s="474"/>
      <c r="Q83" s="474"/>
    </row>
    <row r="84" spans="1:17" s="125" customFormat="1" ht="13.5" customHeight="1">
      <c r="A84" s="635"/>
      <c r="B84" s="220" t="s">
        <v>49</v>
      </c>
      <c r="C84" s="626"/>
      <c r="D84" s="629"/>
      <c r="E84" s="466">
        <f>SUM(F84,G84)</f>
        <v>0</v>
      </c>
      <c r="F84" s="466">
        <v>0</v>
      </c>
      <c r="G84" s="468">
        <v>0</v>
      </c>
      <c r="H84" s="472"/>
      <c r="I84" s="472"/>
      <c r="J84" s="472"/>
      <c r="K84" s="472"/>
      <c r="L84" s="472"/>
      <c r="M84" s="473"/>
      <c r="N84" s="474"/>
      <c r="O84" s="474"/>
      <c r="P84" s="474"/>
      <c r="Q84" s="474"/>
    </row>
    <row r="85" spans="1:17" s="125" customFormat="1" ht="12.75" customHeight="1">
      <c r="A85" s="635"/>
      <c r="B85" s="220" t="s">
        <v>344</v>
      </c>
      <c r="C85" s="626"/>
      <c r="D85" s="629"/>
      <c r="E85" s="466">
        <f>SUM(F85,G85)</f>
        <v>0</v>
      </c>
      <c r="F85" s="466">
        <v>0</v>
      </c>
      <c r="G85" s="468">
        <v>0</v>
      </c>
      <c r="H85" s="472"/>
      <c r="I85" s="472"/>
      <c r="J85" s="472"/>
      <c r="K85" s="472"/>
      <c r="L85" s="472"/>
      <c r="M85" s="473"/>
      <c r="N85" s="474"/>
      <c r="O85" s="474"/>
      <c r="P85" s="474"/>
      <c r="Q85" s="474"/>
    </row>
    <row r="86" spans="1:17" s="125" customFormat="1" ht="12.75" customHeight="1">
      <c r="A86" s="636"/>
      <c r="B86" s="220" t="s">
        <v>345</v>
      </c>
      <c r="C86" s="627"/>
      <c r="D86" s="630"/>
      <c r="E86" s="466">
        <f>SUM(F86,G86)</f>
        <v>0</v>
      </c>
      <c r="F86" s="466">
        <v>0</v>
      </c>
      <c r="G86" s="468">
        <v>0</v>
      </c>
      <c r="H86" s="475"/>
      <c r="I86" s="475"/>
      <c r="J86" s="475"/>
      <c r="K86" s="475"/>
      <c r="L86" s="475"/>
      <c r="M86" s="476"/>
      <c r="N86" s="477"/>
      <c r="O86" s="477"/>
      <c r="P86" s="477"/>
      <c r="Q86" s="477"/>
    </row>
    <row r="87" spans="1:17" s="379" customFormat="1" ht="11.25">
      <c r="A87" s="321">
        <v>2</v>
      </c>
      <c r="B87" s="322" t="s">
        <v>292</v>
      </c>
      <c r="C87" s="671" t="s">
        <v>283</v>
      </c>
      <c r="D87" s="671"/>
      <c r="E87" s="378">
        <f aca="true" t="shared" si="2" ref="E87:L87">SUM(E92)</f>
        <v>97010</v>
      </c>
      <c r="F87" s="378">
        <f t="shared" si="2"/>
        <v>97010</v>
      </c>
      <c r="G87" s="378">
        <f t="shared" si="2"/>
        <v>0</v>
      </c>
      <c r="H87" s="378">
        <f t="shared" si="2"/>
        <v>2102</v>
      </c>
      <c r="I87" s="378">
        <f t="shared" si="2"/>
        <v>2102</v>
      </c>
      <c r="J87" s="378">
        <f t="shared" si="2"/>
        <v>0</v>
      </c>
      <c r="K87" s="378">
        <f t="shared" si="2"/>
        <v>0</v>
      </c>
      <c r="L87" s="378">
        <f t="shared" si="2"/>
        <v>2102</v>
      </c>
      <c r="M87" s="378">
        <v>0</v>
      </c>
      <c r="N87" s="378">
        <v>0</v>
      </c>
      <c r="O87" s="378">
        <v>0</v>
      </c>
      <c r="P87" s="378">
        <v>0</v>
      </c>
      <c r="Q87" s="378">
        <v>0</v>
      </c>
    </row>
    <row r="88" spans="1:17" s="379" customFormat="1" ht="12.75">
      <c r="A88" s="634" t="s">
        <v>495</v>
      </c>
      <c r="B88" s="220" t="s">
        <v>285</v>
      </c>
      <c r="C88" s="637" t="s">
        <v>1</v>
      </c>
      <c r="D88" s="651"/>
      <c r="E88" s="651"/>
      <c r="F88" s="651"/>
      <c r="G88" s="651"/>
      <c r="H88" s="651"/>
      <c r="I88" s="651"/>
      <c r="J88" s="651"/>
      <c r="K88" s="651"/>
      <c r="L88" s="651"/>
      <c r="M88" s="651"/>
      <c r="N88" s="651"/>
      <c r="O88" s="651"/>
      <c r="P88" s="651"/>
      <c r="Q88" s="651"/>
    </row>
    <row r="89" spans="1:17" s="379" customFormat="1" ht="12.75">
      <c r="A89" s="635"/>
      <c r="B89" s="220" t="s">
        <v>286</v>
      </c>
      <c r="C89" s="639" t="s">
        <v>2</v>
      </c>
      <c r="D89" s="652"/>
      <c r="E89" s="652"/>
      <c r="F89" s="652"/>
      <c r="G89" s="652"/>
      <c r="H89" s="652"/>
      <c r="I89" s="652"/>
      <c r="J89" s="652"/>
      <c r="K89" s="652"/>
      <c r="L89" s="652"/>
      <c r="M89" s="652"/>
      <c r="N89" s="652"/>
      <c r="O89" s="652"/>
      <c r="P89" s="652"/>
      <c r="Q89" s="653"/>
    </row>
    <row r="90" spans="1:17" s="379" customFormat="1" ht="12.75">
      <c r="A90" s="635"/>
      <c r="B90" s="220" t="s">
        <v>287</v>
      </c>
      <c r="C90" s="639"/>
      <c r="D90" s="652"/>
      <c r="E90" s="652"/>
      <c r="F90" s="652"/>
      <c r="G90" s="652"/>
      <c r="H90" s="652"/>
      <c r="I90" s="652"/>
      <c r="J90" s="652"/>
      <c r="K90" s="652"/>
      <c r="L90" s="652"/>
      <c r="M90" s="652"/>
      <c r="N90" s="652"/>
      <c r="O90" s="652"/>
      <c r="P90" s="652"/>
      <c r="Q90" s="653"/>
    </row>
    <row r="91" spans="1:17" s="379" customFormat="1" ht="12.75">
      <c r="A91" s="635"/>
      <c r="B91" s="220" t="s">
        <v>288</v>
      </c>
      <c r="C91" s="642" t="s">
        <v>3</v>
      </c>
      <c r="D91" s="654"/>
      <c r="E91" s="654"/>
      <c r="F91" s="654"/>
      <c r="G91" s="654"/>
      <c r="H91" s="654"/>
      <c r="I91" s="654"/>
      <c r="J91" s="654"/>
      <c r="K91" s="654"/>
      <c r="L91" s="654"/>
      <c r="M91" s="654"/>
      <c r="N91" s="654"/>
      <c r="O91" s="654"/>
      <c r="P91" s="654"/>
      <c r="Q91" s="655"/>
    </row>
    <row r="92" spans="1:17" s="379" customFormat="1" ht="11.25">
      <c r="A92" s="636"/>
      <c r="B92" s="220" t="s">
        <v>289</v>
      </c>
      <c r="C92" s="521"/>
      <c r="D92" s="505"/>
      <c r="E92" s="466">
        <f>SUM(E93:E96)</f>
        <v>97010</v>
      </c>
      <c r="F92" s="466">
        <f>SUM(F93:F96)</f>
        <v>97010</v>
      </c>
      <c r="G92" s="466">
        <f>SUM(G93:G95)</f>
        <v>0</v>
      </c>
      <c r="H92" s="466">
        <f>SUM(I92,M92)</f>
        <v>2102</v>
      </c>
      <c r="I92" s="466">
        <f>J92+K92+L92</f>
        <v>2102</v>
      </c>
      <c r="J92" s="466">
        <v>0</v>
      </c>
      <c r="K92" s="466">
        <v>0</v>
      </c>
      <c r="L92" s="466">
        <v>2102</v>
      </c>
      <c r="M92" s="466">
        <f>N92+O92+P92+Q92</f>
        <v>0</v>
      </c>
      <c r="N92" s="466">
        <v>0</v>
      </c>
      <c r="O92" s="466"/>
      <c r="P92" s="466">
        <v>0</v>
      </c>
      <c r="Q92" s="466">
        <v>0</v>
      </c>
    </row>
    <row r="93" spans="1:17" s="379" customFormat="1" ht="11.25">
      <c r="A93" s="634" t="s">
        <v>495</v>
      </c>
      <c r="B93" s="220" t="s">
        <v>350</v>
      </c>
      <c r="C93" s="625"/>
      <c r="D93" s="628" t="s">
        <v>0</v>
      </c>
      <c r="E93" s="466">
        <f>SUM(F93:G93)</f>
        <v>2102</v>
      </c>
      <c r="F93" s="466">
        <f>SUM(I92)</f>
        <v>2102</v>
      </c>
      <c r="G93" s="468">
        <f>SUM(M92)</f>
        <v>0</v>
      </c>
      <c r="H93" s="469"/>
      <c r="I93" s="469"/>
      <c r="J93" s="469"/>
      <c r="K93" s="469"/>
      <c r="L93" s="469"/>
      <c r="M93" s="470"/>
      <c r="N93" s="471"/>
      <c r="O93" s="471"/>
      <c r="P93" s="474"/>
      <c r="Q93" s="474"/>
    </row>
    <row r="94" spans="1:17" s="379" customFormat="1" ht="11.25">
      <c r="A94" s="635"/>
      <c r="B94" s="220" t="s">
        <v>48</v>
      </c>
      <c r="C94" s="626"/>
      <c r="D94" s="629"/>
      <c r="E94" s="466">
        <f>SUM(F94,G94)</f>
        <v>38419</v>
      </c>
      <c r="F94" s="466">
        <v>38419</v>
      </c>
      <c r="G94" s="468">
        <v>0</v>
      </c>
      <c r="H94" s="472"/>
      <c r="I94" s="472"/>
      <c r="J94" s="472"/>
      <c r="K94" s="472"/>
      <c r="L94" s="472"/>
      <c r="M94" s="473"/>
      <c r="N94" s="474"/>
      <c r="O94" s="474"/>
      <c r="P94" s="474"/>
      <c r="Q94" s="474"/>
    </row>
    <row r="95" spans="1:17" s="379" customFormat="1" ht="11.25">
      <c r="A95" s="635"/>
      <c r="B95" s="220" t="s">
        <v>49</v>
      </c>
      <c r="C95" s="626"/>
      <c r="D95" s="629"/>
      <c r="E95" s="466">
        <f>SUM(F95,G95)</f>
        <v>41423</v>
      </c>
      <c r="F95" s="466">
        <v>41423</v>
      </c>
      <c r="G95" s="468">
        <v>0</v>
      </c>
      <c r="H95" s="472"/>
      <c r="I95" s="472"/>
      <c r="J95" s="472"/>
      <c r="K95" s="472"/>
      <c r="L95" s="472"/>
      <c r="M95" s="473"/>
      <c r="N95" s="474"/>
      <c r="O95" s="474"/>
      <c r="P95" s="474"/>
      <c r="Q95" s="474"/>
    </row>
    <row r="96" spans="1:17" s="379" customFormat="1" ht="11.25">
      <c r="A96" s="635"/>
      <c r="B96" s="220" t="s">
        <v>344</v>
      </c>
      <c r="C96" s="626"/>
      <c r="D96" s="629"/>
      <c r="E96" s="466">
        <f>SUM(F96,G96)</f>
        <v>15066</v>
      </c>
      <c r="F96" s="466">
        <v>15066</v>
      </c>
      <c r="G96" s="468">
        <v>0</v>
      </c>
      <c r="H96" s="472"/>
      <c r="I96" s="472"/>
      <c r="J96" s="472"/>
      <c r="K96" s="472"/>
      <c r="L96" s="472"/>
      <c r="M96" s="473"/>
      <c r="N96" s="474"/>
      <c r="O96" s="474"/>
      <c r="P96" s="474"/>
      <c r="Q96" s="474"/>
    </row>
    <row r="97" spans="1:17" s="379" customFormat="1" ht="11.25" customHeight="1">
      <c r="A97" s="636"/>
      <c r="B97" s="220" t="s">
        <v>345</v>
      </c>
      <c r="C97" s="627"/>
      <c r="D97" s="630"/>
      <c r="E97" s="466">
        <f>SUM(F97,G97)</f>
        <v>0</v>
      </c>
      <c r="F97" s="466">
        <v>0</v>
      </c>
      <c r="G97" s="468">
        <v>0</v>
      </c>
      <c r="H97" s="475"/>
      <c r="I97" s="475"/>
      <c r="J97" s="475"/>
      <c r="K97" s="475"/>
      <c r="L97" s="475"/>
      <c r="M97" s="476"/>
      <c r="N97" s="477"/>
      <c r="O97" s="477"/>
      <c r="P97" s="477"/>
      <c r="Q97" s="477"/>
    </row>
    <row r="98" spans="1:17" s="379" customFormat="1" ht="11.25">
      <c r="A98" s="665" t="s">
        <v>293</v>
      </c>
      <c r="B98" s="666"/>
      <c r="C98" s="665" t="s">
        <v>283</v>
      </c>
      <c r="D98" s="666"/>
      <c r="E98" s="378">
        <f aca="true" t="shared" si="3" ref="E98:Q98">SUM(E87,E14)</f>
        <v>32686294</v>
      </c>
      <c r="F98" s="378">
        <f t="shared" si="3"/>
        <v>8930802</v>
      </c>
      <c r="G98" s="378">
        <f t="shared" si="3"/>
        <v>23755492</v>
      </c>
      <c r="H98" s="378">
        <f t="shared" si="3"/>
        <v>3783277</v>
      </c>
      <c r="I98" s="378">
        <f t="shared" si="3"/>
        <v>1921397</v>
      </c>
      <c r="J98" s="378">
        <f t="shared" si="3"/>
        <v>488500</v>
      </c>
      <c r="K98" s="378">
        <f t="shared" si="3"/>
        <v>0</v>
      </c>
      <c r="L98" s="378">
        <f t="shared" si="3"/>
        <v>1432897</v>
      </c>
      <c r="M98" s="378">
        <f t="shared" si="3"/>
        <v>1861880</v>
      </c>
      <c r="N98" s="378">
        <f t="shared" si="3"/>
        <v>0</v>
      </c>
      <c r="O98" s="378">
        <f t="shared" si="3"/>
        <v>0</v>
      </c>
      <c r="P98" s="378">
        <f t="shared" si="3"/>
        <v>0</v>
      </c>
      <c r="Q98" s="378">
        <f t="shared" si="3"/>
        <v>1861880</v>
      </c>
    </row>
    <row r="99" spans="1:10" s="379" customFormat="1" ht="11.25">
      <c r="A99" s="670" t="s">
        <v>294</v>
      </c>
      <c r="B99" s="670"/>
      <c r="C99" s="670"/>
      <c r="D99" s="670"/>
      <c r="E99" s="670"/>
      <c r="F99" s="670"/>
      <c r="G99" s="670"/>
      <c r="H99" s="670"/>
      <c r="I99" s="670"/>
      <c r="J99" s="670"/>
    </row>
    <row r="100" s="379" customFormat="1" ht="11.25">
      <c r="A100" s="379" t="s">
        <v>295</v>
      </c>
    </row>
  </sheetData>
  <mergeCells count="114">
    <mergeCell ref="A93:A97"/>
    <mergeCell ref="C93:C97"/>
    <mergeCell ref="D93:D97"/>
    <mergeCell ref="A88:A92"/>
    <mergeCell ref="C88:Q88"/>
    <mergeCell ref="C89:Q89"/>
    <mergeCell ref="C90:Q90"/>
    <mergeCell ref="C91:Q91"/>
    <mergeCell ref="A72:A76"/>
    <mergeCell ref="C72:C76"/>
    <mergeCell ref="D72:D76"/>
    <mergeCell ref="A67:A71"/>
    <mergeCell ref="C67:Q67"/>
    <mergeCell ref="C68:Q68"/>
    <mergeCell ref="C69:Q69"/>
    <mergeCell ref="C70:Q70"/>
    <mergeCell ref="P32:P35"/>
    <mergeCell ref="Q32:Q35"/>
    <mergeCell ref="K32:K35"/>
    <mergeCell ref="L32:L35"/>
    <mergeCell ref="M32:M35"/>
    <mergeCell ref="N32:N35"/>
    <mergeCell ref="H32:H35"/>
    <mergeCell ref="I32:I35"/>
    <mergeCell ref="J32:J35"/>
    <mergeCell ref="O32:O35"/>
    <mergeCell ref="J42:J45"/>
    <mergeCell ref="K42:K45"/>
    <mergeCell ref="Q42:Q45"/>
    <mergeCell ref="A27:A36"/>
    <mergeCell ref="C27:Q27"/>
    <mergeCell ref="C28:Q28"/>
    <mergeCell ref="C29:Q29"/>
    <mergeCell ref="C30:Q30"/>
    <mergeCell ref="C32:C36"/>
    <mergeCell ref="D32:D36"/>
    <mergeCell ref="C87:D87"/>
    <mergeCell ref="A77:A81"/>
    <mergeCell ref="A82:A86"/>
    <mergeCell ref="C38:Q38"/>
    <mergeCell ref="C39:Q39"/>
    <mergeCell ref="C40:Q40"/>
    <mergeCell ref="C42:C46"/>
    <mergeCell ref="D42:D46"/>
    <mergeCell ref="H42:H45"/>
    <mergeCell ref="I42:I45"/>
    <mergeCell ref="M42:M45"/>
    <mergeCell ref="O42:O45"/>
    <mergeCell ref="P42:P45"/>
    <mergeCell ref="A99:J99"/>
    <mergeCell ref="A98:B98"/>
    <mergeCell ref="C98:D98"/>
    <mergeCell ref="C77:Q77"/>
    <mergeCell ref="C78:Q78"/>
    <mergeCell ref="C79:Q79"/>
    <mergeCell ref="C80:Q80"/>
    <mergeCell ref="P20:P26"/>
    <mergeCell ref="Q20:Q26"/>
    <mergeCell ref="M20:M26"/>
    <mergeCell ref="A15:A26"/>
    <mergeCell ref="C20:C26"/>
    <mergeCell ref="D20:D26"/>
    <mergeCell ref="H20:H26"/>
    <mergeCell ref="C18:Q18"/>
    <mergeCell ref="I20:I26"/>
    <mergeCell ref="J20:J26"/>
    <mergeCell ref="K20:K26"/>
    <mergeCell ref="L20:L26"/>
    <mergeCell ref="N42:N45"/>
    <mergeCell ref="C14:D14"/>
    <mergeCell ref="C15:Q15"/>
    <mergeCell ref="C16:Q16"/>
    <mergeCell ref="C17:Q17"/>
    <mergeCell ref="C37:Q37"/>
    <mergeCell ref="N20:N26"/>
    <mergeCell ref="O20:O26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51:C56"/>
    <mergeCell ref="D51:D56"/>
    <mergeCell ref="A37:A40"/>
    <mergeCell ref="A41:A46"/>
    <mergeCell ref="A47:A56"/>
    <mergeCell ref="C47:Q47"/>
    <mergeCell ref="C48:Q48"/>
    <mergeCell ref="C49:Q49"/>
    <mergeCell ref="C50:Q50"/>
    <mergeCell ref="L42:L45"/>
    <mergeCell ref="A57:A66"/>
    <mergeCell ref="C57:Q57"/>
    <mergeCell ref="C58:Q58"/>
    <mergeCell ref="C59:Q59"/>
    <mergeCell ref="C60:Q60"/>
    <mergeCell ref="C82:C86"/>
    <mergeCell ref="D82:D86"/>
    <mergeCell ref="C61:C66"/>
    <mergeCell ref="D61:D66"/>
  </mergeCells>
  <printOptions/>
  <pageMargins left="0.17" right="0.25" top="1.24" bottom="0.63" header="0.81" footer="0.26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27"/>
  <sheetViews>
    <sheetView workbookViewId="0" topLeftCell="A1">
      <selection activeCell="G2" sqref="G2"/>
    </sheetView>
  </sheetViews>
  <sheetFormatPr defaultColWidth="9.00390625" defaultRowHeight="12.75"/>
  <cols>
    <col min="1" max="1" width="4.875" style="42" bestFit="1" customWidth="1"/>
    <col min="2" max="2" width="6.875" style="42" customWidth="1"/>
    <col min="3" max="3" width="7.125" style="42" customWidth="1"/>
    <col min="4" max="4" width="32.125" style="43" customWidth="1"/>
    <col min="5" max="5" width="13.75390625" style="30" customWidth="1"/>
    <col min="6" max="6" width="13.25390625" style="45" customWidth="1"/>
    <col min="7" max="7" width="12.875" style="427" customWidth="1"/>
    <col min="8" max="16384" width="9.125" style="43" customWidth="1"/>
  </cols>
  <sheetData>
    <row r="1" spans="5:7" ht="12.75">
      <c r="E1" s="422"/>
      <c r="F1" s="43"/>
      <c r="G1" s="32" t="s">
        <v>303</v>
      </c>
    </row>
    <row r="2" spans="5:7" ht="14.25">
      <c r="E2" s="422"/>
      <c r="F2" s="422"/>
      <c r="G2" s="44" t="s">
        <v>506</v>
      </c>
    </row>
    <row r="3" spans="5:7" ht="14.25">
      <c r="E3" s="422"/>
      <c r="F3" s="422"/>
      <c r="G3" s="44" t="s">
        <v>504</v>
      </c>
    </row>
    <row r="4" ht="6.75" customHeight="1">
      <c r="G4" s="423"/>
    </row>
    <row r="5" ht="6.75" customHeight="1">
      <c r="G5" s="28"/>
    </row>
    <row r="6" spans="1:7" ht="12.75">
      <c r="A6" s="581" t="s">
        <v>229</v>
      </c>
      <c r="B6" s="581"/>
      <c r="C6" s="581"/>
      <c r="D6" s="581"/>
      <c r="E6" s="581"/>
      <c r="F6" s="581"/>
      <c r="G6" s="581"/>
    </row>
    <row r="7" spans="1:7" ht="12.75">
      <c r="A7" s="581" t="s">
        <v>384</v>
      </c>
      <c r="B7" s="581"/>
      <c r="C7" s="581"/>
      <c r="D7" s="581"/>
      <c r="E7" s="581"/>
      <c r="F7" s="581"/>
      <c r="G7" s="581"/>
    </row>
    <row r="8" spans="2:4" ht="8.25" customHeight="1">
      <c r="B8" s="424"/>
      <c r="C8" s="425"/>
      <c r="D8" s="426"/>
    </row>
    <row r="9" spans="1:7" s="48" customFormat="1" ht="58.5" customHeight="1">
      <c r="A9" s="449" t="s">
        <v>105</v>
      </c>
      <c r="B9" s="449" t="s">
        <v>106</v>
      </c>
      <c r="C9" s="449" t="s">
        <v>186</v>
      </c>
      <c r="D9" s="158" t="s">
        <v>107</v>
      </c>
      <c r="E9" s="445" t="s">
        <v>385</v>
      </c>
      <c r="F9" s="450" t="s">
        <v>109</v>
      </c>
      <c r="G9" s="445" t="s">
        <v>352</v>
      </c>
    </row>
    <row r="10" spans="1:7" s="49" customFormat="1" ht="12.75">
      <c r="A10" s="156">
        <v>1</v>
      </c>
      <c r="B10" s="156">
        <v>2</v>
      </c>
      <c r="C10" s="156">
        <v>3</v>
      </c>
      <c r="D10" s="293">
        <v>4</v>
      </c>
      <c r="E10" s="293">
        <v>5</v>
      </c>
      <c r="F10" s="299">
        <v>6</v>
      </c>
      <c r="G10" s="299">
        <v>7</v>
      </c>
    </row>
    <row r="11" spans="1:7" s="428" customFormat="1" ht="12.75">
      <c r="A11" s="294" t="s">
        <v>187</v>
      </c>
      <c r="B11" s="295"/>
      <c r="C11" s="295"/>
      <c r="D11" s="26" t="s">
        <v>188</v>
      </c>
      <c r="E11" s="212">
        <f>E12</f>
        <v>10000</v>
      </c>
      <c r="F11" s="212">
        <f>F12</f>
        <v>10000</v>
      </c>
      <c r="G11" s="292">
        <f>SUM(G15)</f>
        <v>4000</v>
      </c>
    </row>
    <row r="12" spans="1:7" s="428" customFormat="1" ht="25.5">
      <c r="A12" s="294"/>
      <c r="B12" s="429" t="s">
        <v>189</v>
      </c>
      <c r="C12" s="295"/>
      <c r="D12" s="26" t="s">
        <v>190</v>
      </c>
      <c r="E12" s="212">
        <f>SUM(E13)</f>
        <v>10000</v>
      </c>
      <c r="F12" s="155">
        <f>SUM(F13:F14)</f>
        <v>10000</v>
      </c>
      <c r="G12" s="430">
        <v>0</v>
      </c>
    </row>
    <row r="13" spans="1:7" s="428" customFormat="1" ht="44.25" customHeight="1">
      <c r="A13" s="298"/>
      <c r="B13" s="429"/>
      <c r="C13" s="296" t="s">
        <v>191</v>
      </c>
      <c r="D13" s="431" t="s">
        <v>192</v>
      </c>
      <c r="E13" s="213">
        <v>10000</v>
      </c>
      <c r="F13" s="301"/>
      <c r="G13" s="367"/>
    </row>
    <row r="14" spans="1:7" s="428" customFormat="1" ht="12.75">
      <c r="A14" s="298"/>
      <c r="B14" s="419"/>
      <c r="C14" s="178">
        <v>4300</v>
      </c>
      <c r="D14" s="310" t="s">
        <v>386</v>
      </c>
      <c r="E14" s="212"/>
      <c r="F14" s="301">
        <v>10000</v>
      </c>
      <c r="G14" s="367"/>
    </row>
    <row r="15" spans="1:7" s="428" customFormat="1" ht="12.75">
      <c r="A15" s="298"/>
      <c r="B15" s="429" t="s">
        <v>353</v>
      </c>
      <c r="C15" s="295"/>
      <c r="D15" s="26" t="s">
        <v>354</v>
      </c>
      <c r="E15" s="212">
        <f>SUM(E16)</f>
        <v>0</v>
      </c>
      <c r="F15" s="155">
        <f>SUM(F16)</f>
        <v>0</v>
      </c>
      <c r="G15" s="155">
        <f>SUM(G16)</f>
        <v>4000</v>
      </c>
    </row>
    <row r="16" spans="1:7" s="428" customFormat="1" ht="33.75" customHeight="1">
      <c r="A16" s="297"/>
      <c r="B16" s="295"/>
      <c r="C16" s="295" t="s">
        <v>387</v>
      </c>
      <c r="D16" s="431" t="s">
        <v>388</v>
      </c>
      <c r="E16" s="213"/>
      <c r="F16" s="301"/>
      <c r="G16" s="301">
        <v>4000</v>
      </c>
    </row>
    <row r="17" spans="1:7" s="428" customFormat="1" ht="12.75">
      <c r="A17" s="297" t="s">
        <v>194</v>
      </c>
      <c r="B17" s="297"/>
      <c r="C17" s="295"/>
      <c r="D17" s="26" t="s">
        <v>195</v>
      </c>
      <c r="E17" s="212">
        <f>SUM(E18)</f>
        <v>54000</v>
      </c>
      <c r="F17" s="155">
        <f>SUM(F18)</f>
        <v>54000</v>
      </c>
      <c r="G17" s="155">
        <f>SUM(G18)</f>
        <v>780000</v>
      </c>
    </row>
    <row r="18" spans="1:7" s="428" customFormat="1" ht="25.5">
      <c r="A18" s="294"/>
      <c r="B18" s="295" t="s">
        <v>196</v>
      </c>
      <c r="C18" s="295"/>
      <c r="D18" s="26" t="s">
        <v>197</v>
      </c>
      <c r="E18" s="212">
        <f>SUM(E19:E32)</f>
        <v>54000</v>
      </c>
      <c r="F18" s="212">
        <f>SUM(F19:F32)</f>
        <v>54000</v>
      </c>
      <c r="G18" s="292">
        <f>SUM(G19:G32)</f>
        <v>780000</v>
      </c>
    </row>
    <row r="19" spans="1:7" s="428" customFormat="1" ht="46.5" customHeight="1">
      <c r="A19" s="298"/>
      <c r="B19" s="294"/>
      <c r="C19" s="295" t="s">
        <v>191</v>
      </c>
      <c r="D19" s="431" t="s">
        <v>192</v>
      </c>
      <c r="E19" s="291">
        <v>54000</v>
      </c>
      <c r="F19" s="301"/>
      <c r="G19" s="367"/>
    </row>
    <row r="20" spans="1:8" s="428" customFormat="1" ht="12.75">
      <c r="A20" s="298"/>
      <c r="B20" s="298"/>
      <c r="C20" s="295" t="s">
        <v>389</v>
      </c>
      <c r="D20" s="431" t="s">
        <v>390</v>
      </c>
      <c r="E20" s="291"/>
      <c r="F20" s="301">
        <v>2187</v>
      </c>
      <c r="G20" s="367"/>
      <c r="H20" s="532"/>
    </row>
    <row r="21" spans="1:7" s="428" customFormat="1" ht="12.75">
      <c r="A21" s="298"/>
      <c r="B21" s="298"/>
      <c r="C21" s="295" t="s">
        <v>391</v>
      </c>
      <c r="D21" s="431" t="s">
        <v>392</v>
      </c>
      <c r="E21" s="291"/>
      <c r="F21" s="301">
        <v>353</v>
      </c>
      <c r="G21" s="367"/>
    </row>
    <row r="22" spans="1:7" s="428" customFormat="1" ht="12.75">
      <c r="A22" s="298"/>
      <c r="B22" s="298"/>
      <c r="C22" s="295" t="s">
        <v>393</v>
      </c>
      <c r="D22" s="431" t="s">
        <v>394</v>
      </c>
      <c r="E22" s="291"/>
      <c r="F22" s="301">
        <v>14393</v>
      </c>
      <c r="G22" s="367"/>
    </row>
    <row r="23" spans="1:7" s="428" customFormat="1" ht="12.75" hidden="1">
      <c r="A23" s="298"/>
      <c r="B23" s="298"/>
      <c r="C23" s="295" t="s">
        <v>395</v>
      </c>
      <c r="D23" s="431" t="s">
        <v>396</v>
      </c>
      <c r="E23" s="291"/>
      <c r="F23" s="301">
        <v>0</v>
      </c>
      <c r="G23" s="367"/>
    </row>
    <row r="24" spans="1:7" s="428" customFormat="1" ht="12.75">
      <c r="A24" s="298"/>
      <c r="B24" s="298"/>
      <c r="C24" s="295" t="s">
        <v>397</v>
      </c>
      <c r="D24" s="431" t="s">
        <v>386</v>
      </c>
      <c r="E24" s="291"/>
      <c r="F24" s="301">
        <v>6879</v>
      </c>
      <c r="G24" s="367"/>
    </row>
    <row r="25" spans="1:7" s="428" customFormat="1" ht="22.5">
      <c r="A25" s="298"/>
      <c r="B25" s="298"/>
      <c r="C25" s="295" t="s">
        <v>484</v>
      </c>
      <c r="D25" s="431" t="s">
        <v>485</v>
      </c>
      <c r="E25" s="291"/>
      <c r="F25" s="301">
        <v>3860</v>
      </c>
      <c r="G25" s="367"/>
    </row>
    <row r="26" spans="1:7" s="428" customFormat="1" ht="22.5" hidden="1">
      <c r="A26" s="298"/>
      <c r="B26" s="298"/>
      <c r="C26" s="295" t="s">
        <v>398</v>
      </c>
      <c r="D26" s="413" t="s">
        <v>399</v>
      </c>
      <c r="E26" s="291"/>
      <c r="F26" s="301">
        <v>0</v>
      </c>
      <c r="G26" s="367"/>
    </row>
    <row r="27" spans="1:7" s="428" customFormat="1" ht="12.75">
      <c r="A27" s="298"/>
      <c r="B27" s="298"/>
      <c r="C27" s="295" t="s">
        <v>400</v>
      </c>
      <c r="D27" s="431" t="s">
        <v>401</v>
      </c>
      <c r="E27" s="291"/>
      <c r="F27" s="301">
        <v>3452</v>
      </c>
      <c r="G27" s="367"/>
    </row>
    <row r="28" spans="1:7" s="428" customFormat="1" ht="12.75" hidden="1">
      <c r="A28" s="298"/>
      <c r="B28" s="298"/>
      <c r="C28" s="295" t="s">
        <v>402</v>
      </c>
      <c r="D28" s="413" t="s">
        <v>403</v>
      </c>
      <c r="E28" s="291"/>
      <c r="F28" s="301">
        <v>0</v>
      </c>
      <c r="G28" s="367"/>
    </row>
    <row r="29" spans="1:7" s="428" customFormat="1" ht="22.5">
      <c r="A29" s="298"/>
      <c r="B29" s="298"/>
      <c r="C29" s="295" t="s">
        <v>465</v>
      </c>
      <c r="D29" s="413" t="s">
        <v>466</v>
      </c>
      <c r="E29" s="291"/>
      <c r="F29" s="301">
        <v>21164</v>
      </c>
      <c r="G29" s="367"/>
    </row>
    <row r="30" spans="1:7" s="428" customFormat="1" ht="22.5">
      <c r="A30" s="298"/>
      <c r="B30" s="298"/>
      <c r="C30" s="295" t="s">
        <v>486</v>
      </c>
      <c r="D30" s="413" t="s">
        <v>487</v>
      </c>
      <c r="E30" s="291"/>
      <c r="F30" s="301">
        <v>260</v>
      </c>
      <c r="G30" s="367"/>
    </row>
    <row r="31" spans="1:7" s="428" customFormat="1" ht="22.5">
      <c r="A31" s="298"/>
      <c r="B31" s="298"/>
      <c r="C31" s="295" t="s">
        <v>419</v>
      </c>
      <c r="D31" s="413" t="s">
        <v>420</v>
      </c>
      <c r="E31" s="291"/>
      <c r="F31" s="301">
        <v>1452</v>
      </c>
      <c r="G31" s="367"/>
    </row>
    <row r="32" spans="1:7" s="428" customFormat="1" ht="32.25" customHeight="1">
      <c r="A32" s="298"/>
      <c r="B32" s="297"/>
      <c r="C32" s="295" t="s">
        <v>387</v>
      </c>
      <c r="D32" s="431" t="s">
        <v>388</v>
      </c>
      <c r="E32" s="212"/>
      <c r="F32" s="301"/>
      <c r="G32" s="301">
        <v>780000</v>
      </c>
    </row>
    <row r="33" spans="1:7" s="428" customFormat="1" ht="15" customHeight="1">
      <c r="A33" s="294" t="s">
        <v>198</v>
      </c>
      <c r="B33" s="295"/>
      <c r="C33" s="295"/>
      <c r="D33" s="26" t="s">
        <v>199</v>
      </c>
      <c r="E33" s="212">
        <f>SUM(E34,E37,E40)</f>
        <v>312277</v>
      </c>
      <c r="F33" s="292">
        <f>SUM(F34,F37,F40)</f>
        <v>312277</v>
      </c>
      <c r="G33" s="292">
        <f>SUM(G34,G37,G40)</f>
        <v>0</v>
      </c>
    </row>
    <row r="34" spans="1:7" s="428" customFormat="1" ht="18" customHeight="1">
      <c r="A34" s="294"/>
      <c r="B34" s="296" t="s">
        <v>200</v>
      </c>
      <c r="C34" s="295"/>
      <c r="D34" s="26" t="s">
        <v>201</v>
      </c>
      <c r="E34" s="212">
        <f>SUM(E35)</f>
        <v>40000</v>
      </c>
      <c r="F34" s="155">
        <f>SUM(F35:F36)</f>
        <v>40000</v>
      </c>
      <c r="G34" s="155">
        <f>SUM(G35:G36)</f>
        <v>0</v>
      </c>
    </row>
    <row r="35" spans="1:7" s="428" customFormat="1" ht="45.75" customHeight="1">
      <c r="A35" s="298"/>
      <c r="B35" s="429"/>
      <c r="C35" s="295" t="s">
        <v>191</v>
      </c>
      <c r="D35" s="431" t="s">
        <v>192</v>
      </c>
      <c r="E35" s="213">
        <v>40000</v>
      </c>
      <c r="F35" s="301"/>
      <c r="G35" s="367"/>
    </row>
    <row r="36" spans="1:7" s="428" customFormat="1" ht="12.75">
      <c r="A36" s="298"/>
      <c r="B36" s="419"/>
      <c r="C36" s="295" t="s">
        <v>397</v>
      </c>
      <c r="D36" s="431" t="s">
        <v>386</v>
      </c>
      <c r="E36" s="212"/>
      <c r="F36" s="301">
        <v>40000</v>
      </c>
      <c r="G36" s="367"/>
    </row>
    <row r="37" spans="1:7" s="428" customFormat="1" ht="25.5">
      <c r="A37" s="298"/>
      <c r="B37" s="429" t="s">
        <v>202</v>
      </c>
      <c r="C37" s="295"/>
      <c r="D37" s="26" t="s">
        <v>203</v>
      </c>
      <c r="E37" s="212">
        <f>SUM(E38)</f>
        <v>8000</v>
      </c>
      <c r="F37" s="155">
        <f>SUM(F38:F39)</f>
        <v>8000</v>
      </c>
      <c r="G37" s="155">
        <f>SUM(G38:G39)</f>
        <v>0</v>
      </c>
    </row>
    <row r="38" spans="1:7" s="428" customFormat="1" ht="45.75" customHeight="1">
      <c r="A38" s="298"/>
      <c r="B38" s="429"/>
      <c r="C38" s="296" t="s">
        <v>191</v>
      </c>
      <c r="D38" s="431" t="s">
        <v>192</v>
      </c>
      <c r="E38" s="291">
        <v>8000</v>
      </c>
      <c r="F38" s="301"/>
      <c r="G38" s="367"/>
    </row>
    <row r="39" spans="1:7" s="428" customFormat="1" ht="12.75">
      <c r="A39" s="298"/>
      <c r="B39" s="419"/>
      <c r="C39" s="419" t="s">
        <v>397</v>
      </c>
      <c r="D39" s="421" t="s">
        <v>386</v>
      </c>
      <c r="E39" s="432"/>
      <c r="F39" s="411">
        <v>8000</v>
      </c>
      <c r="G39" s="417"/>
    </row>
    <row r="40" spans="1:7" s="428" customFormat="1" ht="15" customHeight="1">
      <c r="A40" s="298"/>
      <c r="B40" s="418" t="s">
        <v>204</v>
      </c>
      <c r="C40" s="295"/>
      <c r="D40" s="26" t="s">
        <v>205</v>
      </c>
      <c r="E40" s="212">
        <f>SUM(E41:E53)</f>
        <v>264277</v>
      </c>
      <c r="F40" s="212">
        <f>SUM(F42:F55)</f>
        <v>264277</v>
      </c>
      <c r="G40" s="292">
        <f>SUM(G41:G53)</f>
        <v>0</v>
      </c>
    </row>
    <row r="41" spans="1:7" s="428" customFormat="1" ht="47.25" customHeight="1">
      <c r="A41" s="435"/>
      <c r="B41" s="295"/>
      <c r="C41" s="296" t="s">
        <v>191</v>
      </c>
      <c r="D41" s="431" t="s">
        <v>192</v>
      </c>
      <c r="E41" s="291">
        <v>264277</v>
      </c>
      <c r="F41" s="301"/>
      <c r="G41" s="367"/>
    </row>
    <row r="42" spans="1:7" s="428" customFormat="1" ht="13.5" customHeight="1">
      <c r="A42" s="442" t="s">
        <v>198</v>
      </c>
      <c r="B42" s="294" t="s">
        <v>204</v>
      </c>
      <c r="C42" s="296" t="s">
        <v>404</v>
      </c>
      <c r="D42" s="431" t="s">
        <v>405</v>
      </c>
      <c r="E42" s="291"/>
      <c r="F42" s="301">
        <v>53800</v>
      </c>
      <c r="G42" s="367"/>
    </row>
    <row r="43" spans="1:7" s="428" customFormat="1" ht="22.5">
      <c r="A43" s="442"/>
      <c r="B43" s="294"/>
      <c r="C43" s="419" t="s">
        <v>406</v>
      </c>
      <c r="D43" s="421" t="s">
        <v>407</v>
      </c>
      <c r="E43" s="432"/>
      <c r="F43" s="411">
        <v>124000</v>
      </c>
      <c r="G43" s="417"/>
    </row>
    <row r="44" spans="1:7" s="428" customFormat="1" ht="12.75">
      <c r="A44" s="434"/>
      <c r="B44" s="416"/>
      <c r="C44" s="296" t="s">
        <v>408</v>
      </c>
      <c r="D44" s="431" t="s">
        <v>409</v>
      </c>
      <c r="E44" s="291"/>
      <c r="F44" s="301">
        <v>10000</v>
      </c>
      <c r="G44" s="367"/>
    </row>
    <row r="45" spans="1:7" s="428" customFormat="1" ht="12.75">
      <c r="A45" s="433"/>
      <c r="B45" s="298"/>
      <c r="C45" s="296" t="s">
        <v>389</v>
      </c>
      <c r="D45" s="431" t="s">
        <v>390</v>
      </c>
      <c r="E45" s="291"/>
      <c r="F45" s="301">
        <v>31000</v>
      </c>
      <c r="G45" s="367"/>
    </row>
    <row r="46" spans="1:7" s="428" customFormat="1" ht="12.75">
      <c r="A46" s="433"/>
      <c r="B46" s="298"/>
      <c r="C46" s="419" t="s">
        <v>391</v>
      </c>
      <c r="D46" s="421" t="s">
        <v>392</v>
      </c>
      <c r="E46" s="432"/>
      <c r="F46" s="411">
        <v>4200</v>
      </c>
      <c r="G46" s="417"/>
    </row>
    <row r="47" spans="1:7" s="428" customFormat="1" ht="12.75">
      <c r="A47" s="433"/>
      <c r="B47" s="298"/>
      <c r="C47" s="296" t="s">
        <v>393</v>
      </c>
      <c r="D47" s="431" t="s">
        <v>394</v>
      </c>
      <c r="E47" s="291"/>
      <c r="F47" s="301">
        <v>2400</v>
      </c>
      <c r="G47" s="367"/>
    </row>
    <row r="48" spans="1:7" s="428" customFormat="1" ht="12.75">
      <c r="A48" s="434"/>
      <c r="B48" s="416"/>
      <c r="C48" s="296" t="s">
        <v>410</v>
      </c>
      <c r="D48" s="431" t="s">
        <v>411</v>
      </c>
      <c r="E48" s="291"/>
      <c r="F48" s="301">
        <v>5749</v>
      </c>
      <c r="G48" s="367"/>
    </row>
    <row r="49" spans="1:7" s="428" customFormat="1" ht="12.75">
      <c r="A49" s="434"/>
      <c r="B49" s="416"/>
      <c r="C49" s="296" t="s">
        <v>395</v>
      </c>
      <c r="D49" s="478" t="s">
        <v>443</v>
      </c>
      <c r="E49" s="291"/>
      <c r="F49" s="301">
        <v>128</v>
      </c>
      <c r="G49" s="367"/>
    </row>
    <row r="50" spans="1:7" s="428" customFormat="1" ht="12.75">
      <c r="A50" s="433"/>
      <c r="B50" s="298"/>
      <c r="C50" s="296" t="s">
        <v>397</v>
      </c>
      <c r="D50" s="431" t="s">
        <v>386</v>
      </c>
      <c r="E50" s="291"/>
      <c r="F50" s="301">
        <v>19200</v>
      </c>
      <c r="G50" s="367"/>
    </row>
    <row r="51" spans="1:7" s="428" customFormat="1" ht="25.5" customHeight="1">
      <c r="A51" s="433"/>
      <c r="B51" s="298"/>
      <c r="C51" s="296" t="s">
        <v>412</v>
      </c>
      <c r="D51" s="431" t="s">
        <v>413</v>
      </c>
      <c r="E51" s="291"/>
      <c r="F51" s="301">
        <v>7200</v>
      </c>
      <c r="G51" s="367"/>
    </row>
    <row r="52" spans="1:7" s="428" customFormat="1" ht="12.75">
      <c r="A52" s="433"/>
      <c r="B52" s="298"/>
      <c r="C52" s="296" t="s">
        <v>400</v>
      </c>
      <c r="D52" s="431" t="s">
        <v>414</v>
      </c>
      <c r="E52" s="291"/>
      <c r="F52" s="301">
        <v>0</v>
      </c>
      <c r="G52" s="367"/>
    </row>
    <row r="53" spans="1:7" s="428" customFormat="1" ht="22.5">
      <c r="A53" s="433"/>
      <c r="B53" s="298"/>
      <c r="C53" s="296" t="s">
        <v>415</v>
      </c>
      <c r="D53" s="431" t="s">
        <v>416</v>
      </c>
      <c r="E53" s="291"/>
      <c r="F53" s="301">
        <v>4200</v>
      </c>
      <c r="G53" s="367"/>
    </row>
    <row r="54" spans="1:7" s="428" customFormat="1" ht="22.5">
      <c r="A54" s="433"/>
      <c r="B54" s="298"/>
      <c r="C54" s="296" t="s">
        <v>417</v>
      </c>
      <c r="D54" s="431" t="s">
        <v>418</v>
      </c>
      <c r="E54" s="291"/>
      <c r="F54" s="301">
        <v>1000</v>
      </c>
      <c r="G54" s="367"/>
    </row>
    <row r="55" spans="1:7" s="428" customFormat="1" ht="25.5" customHeight="1">
      <c r="A55" s="435"/>
      <c r="B55" s="297"/>
      <c r="C55" s="296" t="s">
        <v>419</v>
      </c>
      <c r="D55" s="431" t="s">
        <v>420</v>
      </c>
      <c r="E55" s="291"/>
      <c r="F55" s="301">
        <v>1400</v>
      </c>
      <c r="G55" s="367"/>
    </row>
    <row r="56" spans="1:7" s="428" customFormat="1" ht="12.75">
      <c r="A56" s="298" t="s">
        <v>207</v>
      </c>
      <c r="B56" s="297"/>
      <c r="C56" s="295"/>
      <c r="D56" s="26" t="s">
        <v>208</v>
      </c>
      <c r="E56" s="212">
        <f>SUM(E57,E61)</f>
        <v>234163</v>
      </c>
      <c r="F56" s="292">
        <f>SUM(F57,F61)</f>
        <v>234163</v>
      </c>
      <c r="G56" s="292">
        <f>SUM(G57,G61)</f>
        <v>0</v>
      </c>
    </row>
    <row r="57" spans="1:7" s="428" customFormat="1" ht="12.75">
      <c r="A57" s="294"/>
      <c r="B57" s="296" t="s">
        <v>209</v>
      </c>
      <c r="C57" s="295"/>
      <c r="D57" s="26" t="s">
        <v>210</v>
      </c>
      <c r="E57" s="212">
        <f>SUM(E58)</f>
        <v>206163</v>
      </c>
      <c r="F57" s="155">
        <f>SUM(F59:F60)</f>
        <v>206163</v>
      </c>
      <c r="G57" s="155">
        <f>SUM(G59:G60)</f>
        <v>0</v>
      </c>
    </row>
    <row r="58" spans="1:7" s="428" customFormat="1" ht="44.25" customHeight="1">
      <c r="A58" s="298"/>
      <c r="B58" s="429"/>
      <c r="C58" s="295" t="s">
        <v>191</v>
      </c>
      <c r="D58" s="431" t="s">
        <v>192</v>
      </c>
      <c r="E58" s="213">
        <v>206163</v>
      </c>
      <c r="F58" s="301"/>
      <c r="G58" s="367"/>
    </row>
    <row r="59" spans="1:7" s="428" customFormat="1" ht="13.5" customHeight="1">
      <c r="A59" s="298"/>
      <c r="B59" s="418"/>
      <c r="C59" s="295" t="s">
        <v>404</v>
      </c>
      <c r="D59" s="431" t="s">
        <v>405</v>
      </c>
      <c r="E59" s="212"/>
      <c r="F59" s="301">
        <v>197577</v>
      </c>
      <c r="G59" s="367"/>
    </row>
    <row r="60" spans="1:7" s="428" customFormat="1" ht="12.75">
      <c r="A60" s="298"/>
      <c r="B60" s="418"/>
      <c r="C60" s="295" t="s">
        <v>389</v>
      </c>
      <c r="D60" s="431" t="s">
        <v>390</v>
      </c>
      <c r="E60" s="212"/>
      <c r="F60" s="301">
        <v>8586</v>
      </c>
      <c r="G60" s="367"/>
    </row>
    <row r="61" spans="1:7" s="428" customFormat="1" ht="12.75">
      <c r="A61" s="298"/>
      <c r="B61" s="429" t="s">
        <v>211</v>
      </c>
      <c r="C61" s="295"/>
      <c r="D61" s="26" t="s">
        <v>212</v>
      </c>
      <c r="E61" s="212">
        <f>SUM(E62)</f>
        <v>28000</v>
      </c>
      <c r="F61" s="155">
        <f>SUM(F63:F72)</f>
        <v>28000</v>
      </c>
      <c r="G61" s="155">
        <f>SUM(G62:G67)</f>
        <v>0</v>
      </c>
    </row>
    <row r="62" spans="1:7" s="428" customFormat="1" ht="45.75" customHeight="1">
      <c r="A62" s="433"/>
      <c r="B62" s="294"/>
      <c r="C62" s="296" t="s">
        <v>191</v>
      </c>
      <c r="D62" s="431" t="s">
        <v>192</v>
      </c>
      <c r="E62" s="291">
        <v>28000</v>
      </c>
      <c r="F62" s="301"/>
      <c r="G62" s="367"/>
    </row>
    <row r="63" spans="1:7" s="428" customFormat="1" ht="12.75">
      <c r="A63" s="433"/>
      <c r="B63" s="298"/>
      <c r="C63" s="296" t="s">
        <v>389</v>
      </c>
      <c r="D63" s="431" t="s">
        <v>390</v>
      </c>
      <c r="E63" s="291"/>
      <c r="F63" s="301">
        <v>1759</v>
      </c>
      <c r="G63" s="367"/>
    </row>
    <row r="64" spans="1:7" s="428" customFormat="1" ht="12.75">
      <c r="A64" s="433"/>
      <c r="B64" s="298"/>
      <c r="C64" s="296" t="s">
        <v>391</v>
      </c>
      <c r="D64" s="431" t="s">
        <v>392</v>
      </c>
      <c r="E64" s="291"/>
      <c r="F64" s="301">
        <v>49</v>
      </c>
      <c r="G64" s="367"/>
    </row>
    <row r="65" spans="1:7" s="428" customFormat="1" ht="12.75">
      <c r="A65" s="433"/>
      <c r="B65" s="298"/>
      <c r="C65" s="296" t="s">
        <v>393</v>
      </c>
      <c r="D65" s="413" t="s">
        <v>394</v>
      </c>
      <c r="E65" s="291"/>
      <c r="F65" s="301">
        <v>12520</v>
      </c>
      <c r="G65" s="367"/>
    </row>
    <row r="66" spans="1:7" s="428" customFormat="1" ht="12.75">
      <c r="A66" s="433"/>
      <c r="B66" s="298"/>
      <c r="C66" s="296" t="s">
        <v>410</v>
      </c>
      <c r="D66" s="431" t="s">
        <v>411</v>
      </c>
      <c r="E66" s="291"/>
      <c r="F66" s="301">
        <v>1104</v>
      </c>
      <c r="G66" s="367"/>
    </row>
    <row r="67" spans="1:7" s="428" customFormat="1" ht="12.75">
      <c r="A67" s="433"/>
      <c r="B67" s="298"/>
      <c r="C67" s="419" t="s">
        <v>397</v>
      </c>
      <c r="D67" s="431" t="s">
        <v>386</v>
      </c>
      <c r="E67" s="291"/>
      <c r="F67" s="301">
        <v>6221</v>
      </c>
      <c r="G67" s="367"/>
    </row>
    <row r="68" spans="1:7" s="428" customFormat="1" ht="25.5" customHeight="1">
      <c r="A68" s="433"/>
      <c r="B68" s="298"/>
      <c r="C68" s="296" t="s">
        <v>412</v>
      </c>
      <c r="D68" s="436" t="s">
        <v>413</v>
      </c>
      <c r="E68" s="291"/>
      <c r="F68" s="301">
        <v>75</v>
      </c>
      <c r="G68" s="367"/>
    </row>
    <row r="69" spans="1:7" s="428" customFormat="1" ht="22.5">
      <c r="A69" s="433"/>
      <c r="B69" s="298"/>
      <c r="C69" s="296" t="s">
        <v>398</v>
      </c>
      <c r="D69" s="437" t="s">
        <v>399</v>
      </c>
      <c r="E69" s="291"/>
      <c r="F69" s="301">
        <v>5283</v>
      </c>
      <c r="G69" s="367"/>
    </row>
    <row r="70" spans="1:7" s="428" customFormat="1" ht="12.75">
      <c r="A70" s="433"/>
      <c r="B70" s="298"/>
      <c r="C70" s="296" t="s">
        <v>421</v>
      </c>
      <c r="D70" s="437" t="s">
        <v>422</v>
      </c>
      <c r="E70" s="291"/>
      <c r="F70" s="301">
        <v>29</v>
      </c>
      <c r="G70" s="367"/>
    </row>
    <row r="71" spans="1:7" s="428" customFormat="1" ht="22.5">
      <c r="A71" s="433"/>
      <c r="B71" s="298"/>
      <c r="C71" s="296" t="s">
        <v>417</v>
      </c>
      <c r="D71" s="431" t="s">
        <v>418</v>
      </c>
      <c r="E71" s="291"/>
      <c r="F71" s="301">
        <v>700</v>
      </c>
      <c r="G71" s="367"/>
    </row>
    <row r="72" spans="1:7" s="428" customFormat="1" ht="22.5">
      <c r="A72" s="433"/>
      <c r="B72" s="298"/>
      <c r="C72" s="296" t="s">
        <v>419</v>
      </c>
      <c r="D72" s="431" t="s">
        <v>420</v>
      </c>
      <c r="E72" s="291"/>
      <c r="F72" s="301">
        <v>260</v>
      </c>
      <c r="G72" s="367"/>
    </row>
    <row r="73" spans="1:7" s="428" customFormat="1" ht="27.75" customHeight="1">
      <c r="A73" s="294" t="s">
        <v>213</v>
      </c>
      <c r="B73" s="294"/>
      <c r="C73" s="295"/>
      <c r="D73" s="26" t="s">
        <v>214</v>
      </c>
      <c r="E73" s="212">
        <f>SUM(E74,E109)</f>
        <v>3327000</v>
      </c>
      <c r="F73" s="212">
        <f>SUM(F74,F109)</f>
        <v>3327000</v>
      </c>
      <c r="G73" s="292">
        <f>G74</f>
        <v>7000</v>
      </c>
    </row>
    <row r="74" spans="1:7" s="428" customFormat="1" ht="27.75" customHeight="1">
      <c r="A74" s="294"/>
      <c r="B74" s="429" t="s">
        <v>215</v>
      </c>
      <c r="C74" s="296"/>
      <c r="D74" s="26" t="s">
        <v>216</v>
      </c>
      <c r="E74" s="212">
        <f>SUM(E75:E76)</f>
        <v>3327000</v>
      </c>
      <c r="F74" s="292">
        <f>SUM(F77:F107)</f>
        <v>3327000</v>
      </c>
      <c r="G74" s="155">
        <f>SUM(G75:G108)</f>
        <v>7000</v>
      </c>
    </row>
    <row r="75" spans="1:7" s="428" customFormat="1" ht="46.5" customHeight="1">
      <c r="A75" s="433"/>
      <c r="B75" s="294"/>
      <c r="C75" s="296" t="s">
        <v>191</v>
      </c>
      <c r="D75" s="431" t="s">
        <v>192</v>
      </c>
      <c r="E75" s="301">
        <v>2971400</v>
      </c>
      <c r="F75" s="301"/>
      <c r="G75" s="438"/>
    </row>
    <row r="76" spans="1:7" s="428" customFormat="1" ht="56.25">
      <c r="A76" s="433"/>
      <c r="B76" s="298"/>
      <c r="C76" s="419" t="s">
        <v>206</v>
      </c>
      <c r="D76" s="421" t="s">
        <v>325</v>
      </c>
      <c r="E76" s="411">
        <v>355600</v>
      </c>
      <c r="F76" s="411"/>
      <c r="G76" s="439"/>
    </row>
    <row r="77" spans="1:7" s="428" customFormat="1" ht="12.75">
      <c r="A77" s="435"/>
      <c r="B77" s="297"/>
      <c r="C77" s="419" t="s">
        <v>423</v>
      </c>
      <c r="D77" s="440" t="s">
        <v>424</v>
      </c>
      <c r="E77" s="411"/>
      <c r="F77" s="411">
        <v>2000</v>
      </c>
      <c r="G77" s="439"/>
    </row>
    <row r="78" spans="1:7" s="428" customFormat="1" ht="24.75" customHeight="1">
      <c r="A78" s="442" t="s">
        <v>213</v>
      </c>
      <c r="B78" s="294" t="s">
        <v>215</v>
      </c>
      <c r="C78" s="296" t="s">
        <v>425</v>
      </c>
      <c r="D78" s="431" t="s">
        <v>426</v>
      </c>
      <c r="E78" s="291"/>
      <c r="F78" s="301">
        <v>157000</v>
      </c>
      <c r="G78" s="438"/>
    </row>
    <row r="79" spans="1:7" s="428" customFormat="1" ht="15.75" customHeight="1">
      <c r="A79" s="442"/>
      <c r="B79" s="294"/>
      <c r="C79" s="296" t="s">
        <v>404</v>
      </c>
      <c r="D79" s="431" t="s">
        <v>405</v>
      </c>
      <c r="E79" s="291"/>
      <c r="F79" s="301">
        <v>21000</v>
      </c>
      <c r="G79" s="438"/>
    </row>
    <row r="80" spans="1:7" s="428" customFormat="1" ht="22.5">
      <c r="A80" s="433"/>
      <c r="B80" s="298"/>
      <c r="C80" s="296" t="s">
        <v>406</v>
      </c>
      <c r="D80" s="413" t="s">
        <v>407</v>
      </c>
      <c r="E80" s="291"/>
      <c r="F80" s="301">
        <v>30000</v>
      </c>
      <c r="G80" s="438"/>
    </row>
    <row r="81" spans="1:7" s="428" customFormat="1" ht="12.75">
      <c r="A81" s="433"/>
      <c r="B81" s="298"/>
      <c r="C81" s="419" t="s">
        <v>408</v>
      </c>
      <c r="D81" s="421" t="s">
        <v>409</v>
      </c>
      <c r="E81" s="432"/>
      <c r="F81" s="411">
        <v>2000</v>
      </c>
      <c r="G81" s="439"/>
    </row>
    <row r="82" spans="1:7" s="428" customFormat="1" ht="23.25" customHeight="1">
      <c r="A82" s="433"/>
      <c r="B82" s="298"/>
      <c r="C82" s="296" t="s">
        <v>427</v>
      </c>
      <c r="D82" s="431" t="s">
        <v>428</v>
      </c>
      <c r="E82" s="291"/>
      <c r="F82" s="301">
        <v>1933000</v>
      </c>
      <c r="G82" s="438"/>
    </row>
    <row r="83" spans="1:7" s="428" customFormat="1" ht="23.25" customHeight="1">
      <c r="A83" s="433"/>
      <c r="B83" s="298"/>
      <c r="C83" s="419" t="s">
        <v>429</v>
      </c>
      <c r="D83" s="421" t="s">
        <v>430</v>
      </c>
      <c r="E83" s="432"/>
      <c r="F83" s="411">
        <v>138000</v>
      </c>
      <c r="G83" s="439"/>
    </row>
    <row r="84" spans="1:7" s="428" customFormat="1" ht="21.75" customHeight="1">
      <c r="A84" s="433"/>
      <c r="B84" s="298"/>
      <c r="C84" s="296" t="s">
        <v>431</v>
      </c>
      <c r="D84" s="431" t="s">
        <v>432</v>
      </c>
      <c r="E84" s="291"/>
      <c r="F84" s="301">
        <v>161000</v>
      </c>
      <c r="G84" s="438"/>
    </row>
    <row r="85" spans="1:7" s="428" customFormat="1" ht="36" customHeight="1">
      <c r="A85" s="433"/>
      <c r="B85" s="298"/>
      <c r="C85" s="296" t="s">
        <v>433</v>
      </c>
      <c r="D85" s="413" t="s">
        <v>434</v>
      </c>
      <c r="E85" s="291"/>
      <c r="F85" s="301">
        <v>125000</v>
      </c>
      <c r="G85" s="438"/>
    </row>
    <row r="86" spans="1:7" s="428" customFormat="1" ht="12.75">
      <c r="A86" s="433"/>
      <c r="B86" s="298"/>
      <c r="C86" s="296" t="s">
        <v>389</v>
      </c>
      <c r="D86" s="431" t="s">
        <v>390</v>
      </c>
      <c r="E86" s="291"/>
      <c r="F86" s="301">
        <v>8500</v>
      </c>
      <c r="G86" s="438"/>
    </row>
    <row r="87" spans="1:7" s="428" customFormat="1" ht="12.75">
      <c r="A87" s="433"/>
      <c r="B87" s="298"/>
      <c r="C87" s="296" t="s">
        <v>391</v>
      </c>
      <c r="D87" s="431" t="s">
        <v>392</v>
      </c>
      <c r="E87" s="291"/>
      <c r="F87" s="301">
        <v>1500</v>
      </c>
      <c r="G87" s="438"/>
    </row>
    <row r="88" spans="1:7" s="428" customFormat="1" ht="12.75">
      <c r="A88" s="433"/>
      <c r="B88" s="298"/>
      <c r="C88" s="296" t="s">
        <v>393</v>
      </c>
      <c r="D88" s="413" t="s">
        <v>394</v>
      </c>
      <c r="E88" s="291"/>
      <c r="F88" s="301">
        <v>4000</v>
      </c>
      <c r="G88" s="438"/>
    </row>
    <row r="89" spans="1:7" s="428" customFormat="1" ht="22.5" customHeight="1">
      <c r="A89" s="433"/>
      <c r="B89" s="298"/>
      <c r="C89" s="296" t="s">
        <v>435</v>
      </c>
      <c r="D89" s="431" t="s">
        <v>436</v>
      </c>
      <c r="E89" s="291"/>
      <c r="F89" s="301">
        <v>87826</v>
      </c>
      <c r="G89" s="438"/>
    </row>
    <row r="90" spans="1:7" s="428" customFormat="1" ht="11.25" customHeight="1">
      <c r="A90" s="433"/>
      <c r="B90" s="298"/>
      <c r="C90" s="296" t="s">
        <v>410</v>
      </c>
      <c r="D90" s="431" t="s">
        <v>411</v>
      </c>
      <c r="E90" s="291"/>
      <c r="F90" s="301">
        <v>106729</v>
      </c>
      <c r="G90" s="438"/>
    </row>
    <row r="91" spans="1:7" s="428" customFormat="1" ht="12.75" customHeight="1">
      <c r="A91" s="434"/>
      <c r="B91" s="416"/>
      <c r="C91" s="296" t="s">
        <v>437</v>
      </c>
      <c r="D91" s="431" t="s">
        <v>438</v>
      </c>
      <c r="E91" s="291"/>
      <c r="F91" s="301">
        <v>1000</v>
      </c>
      <c r="G91" s="438"/>
    </row>
    <row r="92" spans="1:7" s="428" customFormat="1" ht="12.75" customHeight="1">
      <c r="A92" s="434"/>
      <c r="B92" s="416"/>
      <c r="C92" s="296" t="s">
        <v>439</v>
      </c>
      <c r="D92" s="413" t="s">
        <v>440</v>
      </c>
      <c r="E92" s="291"/>
      <c r="F92" s="301">
        <v>0</v>
      </c>
      <c r="G92" s="438"/>
    </row>
    <row r="93" spans="1:7" s="428" customFormat="1" ht="12" customHeight="1">
      <c r="A93" s="433"/>
      <c r="B93" s="298"/>
      <c r="C93" s="296" t="s">
        <v>441</v>
      </c>
      <c r="D93" s="431" t="s">
        <v>442</v>
      </c>
      <c r="E93" s="291"/>
      <c r="F93" s="301">
        <v>50000</v>
      </c>
      <c r="G93" s="438"/>
    </row>
    <row r="94" spans="1:7" s="428" customFormat="1" ht="12.75" customHeight="1">
      <c r="A94" s="433"/>
      <c r="B94" s="298"/>
      <c r="C94" s="296" t="s">
        <v>395</v>
      </c>
      <c r="D94" s="431" t="s">
        <v>443</v>
      </c>
      <c r="E94" s="291"/>
      <c r="F94" s="301">
        <v>58400</v>
      </c>
      <c r="G94" s="438"/>
    </row>
    <row r="95" spans="1:7" s="428" customFormat="1" ht="12.75" customHeight="1">
      <c r="A95" s="433"/>
      <c r="B95" s="298"/>
      <c r="C95" s="296" t="s">
        <v>444</v>
      </c>
      <c r="D95" s="431" t="s">
        <v>445</v>
      </c>
      <c r="E95" s="291"/>
      <c r="F95" s="301">
        <v>14775</v>
      </c>
      <c r="G95" s="438"/>
    </row>
    <row r="96" spans="1:7" s="428" customFormat="1" ht="13.5" customHeight="1">
      <c r="A96" s="433"/>
      <c r="B96" s="298"/>
      <c r="C96" s="296" t="s">
        <v>397</v>
      </c>
      <c r="D96" s="431" t="s">
        <v>386</v>
      </c>
      <c r="E96" s="291"/>
      <c r="F96" s="301">
        <v>27000</v>
      </c>
      <c r="G96" s="438"/>
    </row>
    <row r="97" spans="1:7" s="428" customFormat="1" ht="11.25" customHeight="1">
      <c r="A97" s="433"/>
      <c r="B97" s="298"/>
      <c r="C97" s="296" t="s">
        <v>446</v>
      </c>
      <c r="D97" s="437" t="s">
        <v>447</v>
      </c>
      <c r="E97" s="291"/>
      <c r="F97" s="301">
        <v>4000</v>
      </c>
      <c r="G97" s="438"/>
    </row>
    <row r="98" spans="1:7" s="428" customFormat="1" ht="24.75" customHeight="1">
      <c r="A98" s="433"/>
      <c r="B98" s="298"/>
      <c r="C98" s="296" t="s">
        <v>448</v>
      </c>
      <c r="D98" s="437" t="s">
        <v>449</v>
      </c>
      <c r="E98" s="291"/>
      <c r="F98" s="301">
        <v>7000</v>
      </c>
      <c r="G98" s="438"/>
    </row>
    <row r="99" spans="1:7" s="428" customFormat="1" ht="25.5" customHeight="1">
      <c r="A99" s="433"/>
      <c r="B99" s="298"/>
      <c r="C99" s="296" t="s">
        <v>412</v>
      </c>
      <c r="D99" s="437" t="s">
        <v>413</v>
      </c>
      <c r="E99" s="291"/>
      <c r="F99" s="301">
        <v>8000</v>
      </c>
      <c r="G99" s="438"/>
    </row>
    <row r="100" spans="1:7" s="428" customFormat="1" ht="12" customHeight="1">
      <c r="A100" s="433"/>
      <c r="B100" s="298"/>
      <c r="C100" s="296" t="s">
        <v>421</v>
      </c>
      <c r="D100" s="431" t="s">
        <v>422</v>
      </c>
      <c r="E100" s="291"/>
      <c r="F100" s="301">
        <v>4000</v>
      </c>
      <c r="G100" s="438"/>
    </row>
    <row r="101" spans="1:7" s="428" customFormat="1" ht="12" customHeight="1">
      <c r="A101" s="434"/>
      <c r="B101" s="416"/>
      <c r="C101" s="296" t="s">
        <v>400</v>
      </c>
      <c r="D101" s="431" t="s">
        <v>401</v>
      </c>
      <c r="E101" s="291"/>
      <c r="F101" s="301">
        <v>2000</v>
      </c>
      <c r="G101" s="438"/>
    </row>
    <row r="102" spans="1:7" s="428" customFormat="1" ht="22.5">
      <c r="A102" s="433"/>
      <c r="B102" s="298"/>
      <c r="C102" s="296" t="s">
        <v>415</v>
      </c>
      <c r="D102" s="431" t="s">
        <v>416</v>
      </c>
      <c r="E102" s="291"/>
      <c r="F102" s="301">
        <v>2000</v>
      </c>
      <c r="G102" s="438"/>
    </row>
    <row r="103" spans="1:7" s="428" customFormat="1" ht="27.75" customHeight="1">
      <c r="A103" s="433"/>
      <c r="B103" s="298"/>
      <c r="C103" s="296" t="s">
        <v>450</v>
      </c>
      <c r="D103" s="431" t="s">
        <v>451</v>
      </c>
      <c r="E103" s="291"/>
      <c r="F103" s="301">
        <v>9445</v>
      </c>
      <c r="G103" s="438"/>
    </row>
    <row r="104" spans="1:7" s="428" customFormat="1" ht="12.75">
      <c r="A104" s="433"/>
      <c r="B104" s="298"/>
      <c r="C104" s="296" t="s">
        <v>452</v>
      </c>
      <c r="D104" s="431" t="s">
        <v>453</v>
      </c>
      <c r="E104" s="291"/>
      <c r="F104" s="301">
        <v>225</v>
      </c>
      <c r="G104" s="438"/>
    </row>
    <row r="105" spans="1:7" s="428" customFormat="1" ht="26.25" customHeight="1">
      <c r="A105" s="433"/>
      <c r="B105" s="298"/>
      <c r="C105" s="419" t="s">
        <v>417</v>
      </c>
      <c r="D105" s="437" t="s">
        <v>418</v>
      </c>
      <c r="E105" s="291"/>
      <c r="F105" s="301">
        <v>2000</v>
      </c>
      <c r="G105" s="438"/>
    </row>
    <row r="106" spans="1:7" s="428" customFormat="1" ht="23.25" customHeight="1">
      <c r="A106" s="433"/>
      <c r="B106" s="298"/>
      <c r="C106" s="296" t="s">
        <v>419</v>
      </c>
      <c r="D106" s="413" t="s">
        <v>420</v>
      </c>
      <c r="E106" s="291"/>
      <c r="F106" s="301">
        <v>4000</v>
      </c>
      <c r="G106" s="438"/>
    </row>
    <row r="107" spans="1:7" s="428" customFormat="1" ht="21.75" customHeight="1">
      <c r="A107" s="433"/>
      <c r="B107" s="298"/>
      <c r="C107" s="296" t="s">
        <v>454</v>
      </c>
      <c r="D107" s="413" t="s">
        <v>455</v>
      </c>
      <c r="E107" s="291"/>
      <c r="F107" s="301">
        <v>355600</v>
      </c>
      <c r="G107" s="438"/>
    </row>
    <row r="108" spans="1:7" s="428" customFormat="1" ht="32.25" customHeight="1">
      <c r="A108" s="435"/>
      <c r="B108" s="297"/>
      <c r="C108" s="296" t="s">
        <v>387</v>
      </c>
      <c r="D108" s="431" t="s">
        <v>388</v>
      </c>
      <c r="E108" s="291"/>
      <c r="F108" s="301"/>
      <c r="G108" s="301">
        <v>7000</v>
      </c>
    </row>
    <row r="109" spans="1:7" s="428" customFormat="1" ht="12.75" hidden="1">
      <c r="A109" s="298" t="s">
        <v>213</v>
      </c>
      <c r="B109" s="418" t="s">
        <v>217</v>
      </c>
      <c r="C109" s="295"/>
      <c r="D109" s="441" t="s">
        <v>218</v>
      </c>
      <c r="E109" s="212">
        <f>SUM(E110:E110)</f>
        <v>0</v>
      </c>
      <c r="F109" s="155">
        <f>SUM(F111:F114)</f>
        <v>0</v>
      </c>
      <c r="G109" s="155">
        <f>SUM(G111:G111)</f>
        <v>0</v>
      </c>
    </row>
    <row r="110" spans="1:7" s="428" customFormat="1" ht="45.75" customHeight="1" hidden="1">
      <c r="A110" s="442"/>
      <c r="B110" s="294"/>
      <c r="C110" s="419" t="s">
        <v>191</v>
      </c>
      <c r="D110" s="421" t="s">
        <v>192</v>
      </c>
      <c r="E110" s="432">
        <v>0</v>
      </c>
      <c r="F110" s="411"/>
      <c r="G110" s="417"/>
    </row>
    <row r="111" spans="1:7" s="428" customFormat="1" ht="12.75" hidden="1">
      <c r="A111" s="433"/>
      <c r="B111" s="298"/>
      <c r="C111" s="296" t="s">
        <v>410</v>
      </c>
      <c r="D111" s="431" t="s">
        <v>411</v>
      </c>
      <c r="E111" s="291"/>
      <c r="F111" s="301">
        <v>0</v>
      </c>
      <c r="G111" s="367"/>
    </row>
    <row r="112" spans="1:7" s="428" customFormat="1" ht="12.75" hidden="1">
      <c r="A112" s="433"/>
      <c r="B112" s="298"/>
      <c r="C112" s="296" t="s">
        <v>397</v>
      </c>
      <c r="D112" s="431" t="s">
        <v>386</v>
      </c>
      <c r="E112" s="291"/>
      <c r="F112" s="301">
        <v>0</v>
      </c>
      <c r="G112" s="367"/>
    </row>
    <row r="113" spans="1:7" s="428" customFormat="1" ht="24" customHeight="1" hidden="1">
      <c r="A113" s="433"/>
      <c r="B113" s="298"/>
      <c r="C113" s="296" t="s">
        <v>417</v>
      </c>
      <c r="D113" s="437" t="s">
        <v>418</v>
      </c>
      <c r="E113" s="291"/>
      <c r="F113" s="301">
        <v>0</v>
      </c>
      <c r="G113" s="367"/>
    </row>
    <row r="114" spans="1:7" s="428" customFormat="1" ht="22.5" hidden="1">
      <c r="A114" s="435"/>
      <c r="B114" s="297"/>
      <c r="C114" s="419" t="s">
        <v>419</v>
      </c>
      <c r="D114" s="440" t="s">
        <v>420</v>
      </c>
      <c r="E114" s="432"/>
      <c r="F114" s="411">
        <v>0</v>
      </c>
      <c r="G114" s="417"/>
    </row>
    <row r="115" spans="1:7" s="428" customFormat="1" ht="15.75" customHeight="1">
      <c r="A115" s="298" t="s">
        <v>220</v>
      </c>
      <c r="B115" s="297"/>
      <c r="C115" s="295"/>
      <c r="D115" s="26" t="s">
        <v>221</v>
      </c>
      <c r="E115" s="212">
        <f>SUM(E116,E119)</f>
        <v>1356064</v>
      </c>
      <c r="F115" s="212">
        <f>SUM(F116,F119)</f>
        <v>1356064</v>
      </c>
      <c r="G115" s="292">
        <f>G119</f>
        <v>0</v>
      </c>
    </row>
    <row r="116" spans="1:7" s="428" customFormat="1" ht="15.75" customHeight="1" hidden="1">
      <c r="A116" s="294"/>
      <c r="B116" s="429" t="s">
        <v>456</v>
      </c>
      <c r="C116" s="295"/>
      <c r="D116" s="83" t="s">
        <v>457</v>
      </c>
      <c r="E116" s="212">
        <f>SUM(E117:E117)</f>
        <v>0</v>
      </c>
      <c r="F116" s="155">
        <f>SUM(F118:F118)</f>
        <v>0</v>
      </c>
      <c r="G116" s="155">
        <f>SUM(G118:G118)</f>
        <v>0</v>
      </c>
    </row>
    <row r="117" spans="1:7" s="428" customFormat="1" ht="43.5" customHeight="1" hidden="1">
      <c r="A117" s="298"/>
      <c r="B117" s="429"/>
      <c r="C117" s="419" t="s">
        <v>206</v>
      </c>
      <c r="D117" s="421" t="s">
        <v>325</v>
      </c>
      <c r="E117" s="432">
        <v>0</v>
      </c>
      <c r="F117" s="411"/>
      <c r="G117" s="417"/>
    </row>
    <row r="118" spans="1:7" s="428" customFormat="1" ht="43.5" customHeight="1" hidden="1">
      <c r="A118" s="298"/>
      <c r="B118" s="419"/>
      <c r="C118" s="295" t="s">
        <v>458</v>
      </c>
      <c r="D118" s="443" t="s">
        <v>459</v>
      </c>
      <c r="E118" s="291"/>
      <c r="F118" s="301">
        <v>0</v>
      </c>
      <c r="G118" s="367"/>
    </row>
    <row r="119" spans="1:7" s="428" customFormat="1" ht="44.25" customHeight="1">
      <c r="A119" s="294"/>
      <c r="B119" s="296" t="s">
        <v>222</v>
      </c>
      <c r="C119" s="295"/>
      <c r="D119" s="444" t="s">
        <v>223</v>
      </c>
      <c r="E119" s="212">
        <f>SUM(E120:E120)</f>
        <v>1356064</v>
      </c>
      <c r="F119" s="155">
        <f>SUM(F121:F121)</f>
        <v>1356064</v>
      </c>
      <c r="G119" s="155">
        <f>SUM(G121:G121)</f>
        <v>0</v>
      </c>
    </row>
    <row r="120" spans="1:7" s="428" customFormat="1" ht="45" customHeight="1">
      <c r="A120" s="298"/>
      <c r="B120" s="418"/>
      <c r="C120" s="419" t="s">
        <v>191</v>
      </c>
      <c r="D120" s="421" t="s">
        <v>192</v>
      </c>
      <c r="E120" s="432">
        <v>1356064</v>
      </c>
      <c r="F120" s="411"/>
      <c r="G120" s="417"/>
    </row>
    <row r="121" spans="1:7" s="428" customFormat="1" ht="12.75">
      <c r="A121" s="297"/>
      <c r="B121" s="419"/>
      <c r="C121" s="296" t="s">
        <v>460</v>
      </c>
      <c r="D121" s="431" t="s">
        <v>461</v>
      </c>
      <c r="E121" s="291"/>
      <c r="F121" s="301">
        <v>1356064</v>
      </c>
      <c r="G121" s="367"/>
    </row>
    <row r="122" spans="1:7" s="428" customFormat="1" ht="14.25" customHeight="1">
      <c r="A122" s="294">
        <v>852</v>
      </c>
      <c r="B122" s="296"/>
      <c r="C122" s="295"/>
      <c r="D122" s="26" t="s">
        <v>230</v>
      </c>
      <c r="E122" s="212">
        <f>SUM(E123)</f>
        <v>444047</v>
      </c>
      <c r="F122" s="212">
        <f>SUM(F123)</f>
        <v>444047</v>
      </c>
      <c r="G122" s="292">
        <f>SUM(G123)</f>
        <v>1049</v>
      </c>
    </row>
    <row r="123" spans="1:7" s="428" customFormat="1" ht="15" customHeight="1">
      <c r="A123" s="295"/>
      <c r="B123" s="296" t="s">
        <v>225</v>
      </c>
      <c r="C123" s="295"/>
      <c r="D123" s="26" t="s">
        <v>226</v>
      </c>
      <c r="E123" s="212">
        <f>SUM(E124:E141)</f>
        <v>444047</v>
      </c>
      <c r="F123" s="212">
        <f>SUM(F125:F143)</f>
        <v>444047</v>
      </c>
      <c r="G123" s="292">
        <f>SUM(G144)</f>
        <v>1049</v>
      </c>
    </row>
    <row r="124" spans="1:7" s="428" customFormat="1" ht="48" customHeight="1">
      <c r="A124" s="294" t="s">
        <v>224</v>
      </c>
      <c r="B124" s="429" t="s">
        <v>225</v>
      </c>
      <c r="C124" s="296" t="s">
        <v>191</v>
      </c>
      <c r="D124" s="431" t="s">
        <v>192</v>
      </c>
      <c r="E124" s="291">
        <v>444047</v>
      </c>
      <c r="F124" s="301"/>
      <c r="G124" s="367"/>
    </row>
    <row r="125" spans="1:7" s="428" customFormat="1" ht="11.25" customHeight="1">
      <c r="A125" s="442"/>
      <c r="B125" s="294"/>
      <c r="C125" s="582" t="s">
        <v>462</v>
      </c>
      <c r="D125" s="584" t="s">
        <v>463</v>
      </c>
      <c r="E125" s="586"/>
      <c r="F125" s="588">
        <v>640</v>
      </c>
      <c r="G125" s="590"/>
    </row>
    <row r="126" spans="1:7" s="428" customFormat="1" ht="3" customHeight="1">
      <c r="A126" s="433"/>
      <c r="B126" s="298"/>
      <c r="C126" s="583"/>
      <c r="D126" s="585"/>
      <c r="E126" s="587"/>
      <c r="F126" s="589"/>
      <c r="G126" s="577"/>
    </row>
    <row r="127" spans="1:7" s="428" customFormat="1" ht="13.5" customHeight="1">
      <c r="A127" s="433"/>
      <c r="B127" s="298"/>
      <c r="C127" s="296" t="s">
        <v>404</v>
      </c>
      <c r="D127" s="431" t="s">
        <v>405</v>
      </c>
      <c r="E127" s="211"/>
      <c r="F127" s="300">
        <v>208000</v>
      </c>
      <c r="G127" s="367"/>
    </row>
    <row r="128" spans="1:7" s="428" customFormat="1" ht="12.75">
      <c r="A128" s="433"/>
      <c r="B128" s="298"/>
      <c r="C128" s="296" t="s">
        <v>408</v>
      </c>
      <c r="D128" s="431" t="s">
        <v>409</v>
      </c>
      <c r="E128" s="211"/>
      <c r="F128" s="300">
        <v>12761</v>
      </c>
      <c r="G128" s="367"/>
    </row>
    <row r="129" spans="1:7" s="428" customFormat="1" ht="12.75">
      <c r="A129" s="433"/>
      <c r="B129" s="298"/>
      <c r="C129" s="419" t="s">
        <v>389</v>
      </c>
      <c r="D129" s="421" t="s">
        <v>390</v>
      </c>
      <c r="E129" s="210"/>
      <c r="F129" s="410">
        <v>36173</v>
      </c>
      <c r="G129" s="417"/>
    </row>
    <row r="130" spans="1:7" s="428" customFormat="1" ht="12.75">
      <c r="A130" s="433"/>
      <c r="B130" s="298"/>
      <c r="C130" s="419" t="s">
        <v>391</v>
      </c>
      <c r="D130" s="421" t="s">
        <v>392</v>
      </c>
      <c r="E130" s="210"/>
      <c r="F130" s="410">
        <v>5409</v>
      </c>
      <c r="G130" s="417"/>
    </row>
    <row r="131" spans="1:7" s="428" customFormat="1" ht="12.75">
      <c r="A131" s="433"/>
      <c r="B131" s="298"/>
      <c r="C131" s="419" t="s">
        <v>393</v>
      </c>
      <c r="D131" s="421" t="s">
        <v>464</v>
      </c>
      <c r="E131" s="210"/>
      <c r="F131" s="410">
        <v>11508</v>
      </c>
      <c r="G131" s="417"/>
    </row>
    <row r="132" spans="1:7" s="428" customFormat="1" ht="12.75">
      <c r="A132" s="433"/>
      <c r="B132" s="298"/>
      <c r="C132" s="419" t="s">
        <v>410</v>
      </c>
      <c r="D132" s="421" t="s">
        <v>411</v>
      </c>
      <c r="E132" s="210"/>
      <c r="F132" s="410">
        <v>45096</v>
      </c>
      <c r="G132" s="417"/>
    </row>
    <row r="133" spans="1:7" s="428" customFormat="1" ht="12.75">
      <c r="A133" s="433"/>
      <c r="B133" s="298"/>
      <c r="C133" s="419" t="s">
        <v>441</v>
      </c>
      <c r="D133" s="421" t="s">
        <v>442</v>
      </c>
      <c r="E133" s="210"/>
      <c r="F133" s="410">
        <v>26000</v>
      </c>
      <c r="G133" s="417"/>
    </row>
    <row r="134" spans="1:7" s="428" customFormat="1" ht="12.75">
      <c r="A134" s="433"/>
      <c r="B134" s="298"/>
      <c r="C134" s="419" t="s">
        <v>395</v>
      </c>
      <c r="D134" s="421" t="s">
        <v>443</v>
      </c>
      <c r="E134" s="210"/>
      <c r="F134" s="410">
        <v>35000</v>
      </c>
      <c r="G134" s="417"/>
    </row>
    <row r="135" spans="1:7" s="428" customFormat="1" ht="12.75">
      <c r="A135" s="433"/>
      <c r="B135" s="298"/>
      <c r="C135" s="419" t="s">
        <v>444</v>
      </c>
      <c r="D135" s="421" t="s">
        <v>445</v>
      </c>
      <c r="E135" s="210"/>
      <c r="F135" s="410">
        <v>300</v>
      </c>
      <c r="G135" s="417"/>
    </row>
    <row r="136" spans="1:7" s="428" customFormat="1" ht="12.75">
      <c r="A136" s="433"/>
      <c r="B136" s="298"/>
      <c r="C136" s="296" t="s">
        <v>397</v>
      </c>
      <c r="D136" s="431" t="s">
        <v>386</v>
      </c>
      <c r="E136" s="213"/>
      <c r="F136" s="300">
        <v>34000</v>
      </c>
      <c r="G136" s="367"/>
    </row>
    <row r="137" spans="1:7" s="428" customFormat="1" ht="15.75" customHeight="1">
      <c r="A137" s="433"/>
      <c r="B137" s="298"/>
      <c r="C137" s="296" t="s">
        <v>446</v>
      </c>
      <c r="D137" s="431" t="s">
        <v>447</v>
      </c>
      <c r="E137" s="213"/>
      <c r="F137" s="300">
        <v>2039</v>
      </c>
      <c r="G137" s="367"/>
    </row>
    <row r="138" spans="1:7" s="428" customFormat="1" ht="27" customHeight="1">
      <c r="A138" s="433"/>
      <c r="B138" s="298"/>
      <c r="C138" s="296" t="s">
        <v>412</v>
      </c>
      <c r="D138" s="413" t="s">
        <v>413</v>
      </c>
      <c r="E138" s="213"/>
      <c r="F138" s="300">
        <v>3500</v>
      </c>
      <c r="G138" s="367"/>
    </row>
    <row r="139" spans="1:7" s="428" customFormat="1" ht="12.75">
      <c r="A139" s="433"/>
      <c r="B139" s="298"/>
      <c r="C139" s="296" t="s">
        <v>421</v>
      </c>
      <c r="D139" s="431" t="s">
        <v>422</v>
      </c>
      <c r="E139" s="213"/>
      <c r="F139" s="300">
        <v>5000</v>
      </c>
      <c r="G139" s="367"/>
    </row>
    <row r="140" spans="1:7" s="428" customFormat="1" ht="12.75">
      <c r="A140" s="433"/>
      <c r="B140" s="298"/>
      <c r="C140" s="296" t="s">
        <v>400</v>
      </c>
      <c r="D140" s="431" t="s">
        <v>401</v>
      </c>
      <c r="E140" s="213"/>
      <c r="F140" s="300">
        <v>600</v>
      </c>
      <c r="G140" s="367"/>
    </row>
    <row r="141" spans="1:7" s="428" customFormat="1" ht="22.5">
      <c r="A141" s="433"/>
      <c r="B141" s="298"/>
      <c r="C141" s="429" t="s">
        <v>415</v>
      </c>
      <c r="D141" s="420" t="s">
        <v>416</v>
      </c>
      <c r="E141" s="446"/>
      <c r="F141" s="412">
        <v>8250</v>
      </c>
      <c r="G141" s="447"/>
    </row>
    <row r="142" spans="1:7" s="428" customFormat="1" ht="27" customHeight="1">
      <c r="A142" s="433"/>
      <c r="B142" s="298"/>
      <c r="C142" s="429" t="s">
        <v>417</v>
      </c>
      <c r="D142" s="448" t="s">
        <v>418</v>
      </c>
      <c r="E142" s="446"/>
      <c r="F142" s="412">
        <v>1771</v>
      </c>
      <c r="G142" s="447"/>
    </row>
    <row r="143" spans="1:7" s="428" customFormat="1" ht="22.5">
      <c r="A143" s="433"/>
      <c r="B143" s="298"/>
      <c r="C143" s="429" t="s">
        <v>419</v>
      </c>
      <c r="D143" s="448" t="s">
        <v>420</v>
      </c>
      <c r="E143" s="446"/>
      <c r="F143" s="412">
        <v>8000</v>
      </c>
      <c r="G143" s="447"/>
    </row>
    <row r="144" spans="1:7" s="428" customFormat="1" ht="33.75">
      <c r="A144" s="435"/>
      <c r="B144" s="297"/>
      <c r="C144" s="296" t="s">
        <v>387</v>
      </c>
      <c r="D144" s="431" t="s">
        <v>388</v>
      </c>
      <c r="E144" s="446"/>
      <c r="F144" s="412"/>
      <c r="G144" s="412">
        <v>1049</v>
      </c>
    </row>
    <row r="145" spans="1:7" s="428" customFormat="1" ht="12.75">
      <c r="A145" s="592" t="s">
        <v>231</v>
      </c>
      <c r="B145" s="593"/>
      <c r="C145" s="594"/>
      <c r="D145" s="594"/>
      <c r="E145" s="155">
        <f>SUM(E122,E115,E73,E56,E33,E17,E11)</f>
        <v>5737551</v>
      </c>
      <c r="F145" s="155">
        <f>SUM(F122,F115,F73,F56,F33,F17,F11)</f>
        <v>5737551</v>
      </c>
      <c r="G145" s="155">
        <f>G11+G17+G33+G56+G73+G115+G122</f>
        <v>792049</v>
      </c>
    </row>
    <row r="146" spans="6:7" ht="12.75">
      <c r="F146" s="46"/>
      <c r="G146" s="28"/>
    </row>
    <row r="147" spans="6:7" ht="12.75">
      <c r="F147" s="46"/>
      <c r="G147" s="28"/>
    </row>
    <row r="148" spans="6:7" ht="12.75">
      <c r="F148" s="46"/>
      <c r="G148" s="28"/>
    </row>
    <row r="149" spans="6:7" ht="12.75">
      <c r="F149" s="46"/>
      <c r="G149" s="28"/>
    </row>
    <row r="150" spans="6:7" ht="12.75">
      <c r="F150" s="46"/>
      <c r="G150" s="28"/>
    </row>
    <row r="151" spans="6:7" ht="12.75">
      <c r="F151" s="46"/>
      <c r="G151" s="28"/>
    </row>
    <row r="152" spans="6:7" ht="12.75">
      <c r="F152" s="46"/>
      <c r="G152" s="28"/>
    </row>
    <row r="153" spans="6:7" ht="12.75">
      <c r="F153" s="46"/>
      <c r="G153" s="28"/>
    </row>
    <row r="154" spans="6:7" ht="12.75">
      <c r="F154" s="46"/>
      <c r="G154" s="28"/>
    </row>
    <row r="155" spans="6:7" ht="12.75">
      <c r="F155" s="46"/>
      <c r="G155" s="28"/>
    </row>
    <row r="156" spans="6:7" ht="12.75">
      <c r="F156" s="46"/>
      <c r="G156" s="28"/>
    </row>
    <row r="157" spans="6:7" ht="12.75">
      <c r="F157" s="46"/>
      <c r="G157" s="28"/>
    </row>
    <row r="158" spans="6:7" ht="12.75">
      <c r="F158" s="46"/>
      <c r="G158" s="28"/>
    </row>
    <row r="159" spans="6:7" ht="12.75">
      <c r="F159" s="46"/>
      <c r="G159" s="28"/>
    </row>
    <row r="160" spans="6:7" ht="12.75">
      <c r="F160" s="46"/>
      <c r="G160" s="28"/>
    </row>
    <row r="161" spans="6:7" ht="12.75">
      <c r="F161" s="46"/>
      <c r="G161" s="28"/>
    </row>
    <row r="162" spans="6:7" ht="12.75">
      <c r="F162" s="46"/>
      <c r="G162" s="28"/>
    </row>
    <row r="163" spans="6:7" ht="12.75">
      <c r="F163" s="46"/>
      <c r="G163" s="28"/>
    </row>
    <row r="164" spans="6:7" ht="12.75">
      <c r="F164" s="46"/>
      <c r="G164" s="28"/>
    </row>
    <row r="165" spans="6:7" ht="12.75">
      <c r="F165" s="46"/>
      <c r="G165" s="28"/>
    </row>
    <row r="166" spans="6:7" ht="12.75">
      <c r="F166" s="46"/>
      <c r="G166" s="28"/>
    </row>
    <row r="167" spans="6:7" ht="12.75">
      <c r="F167" s="46"/>
      <c r="G167" s="28"/>
    </row>
    <row r="168" spans="6:7" ht="12.75">
      <c r="F168" s="46"/>
      <c r="G168" s="28"/>
    </row>
    <row r="169" spans="6:7" ht="12.75">
      <c r="F169" s="46"/>
      <c r="G169" s="28"/>
    </row>
    <row r="170" spans="6:7" ht="12.75">
      <c r="F170" s="46"/>
      <c r="G170" s="28"/>
    </row>
    <row r="171" spans="6:7" ht="12.75">
      <c r="F171" s="46"/>
      <c r="G171" s="28"/>
    </row>
    <row r="172" spans="6:7" ht="12.75">
      <c r="F172" s="46"/>
      <c r="G172" s="28"/>
    </row>
    <row r="173" spans="6:7" ht="12.75">
      <c r="F173" s="46"/>
      <c r="G173" s="28"/>
    </row>
    <row r="174" spans="6:7" ht="12.75">
      <c r="F174" s="46"/>
      <c r="G174" s="28"/>
    </row>
    <row r="175" spans="6:7" ht="12.75">
      <c r="F175" s="46"/>
      <c r="G175" s="28"/>
    </row>
    <row r="176" spans="6:7" ht="12.75">
      <c r="F176" s="46"/>
      <c r="G176" s="28"/>
    </row>
    <row r="177" spans="6:7" ht="12.75">
      <c r="F177" s="46"/>
      <c r="G177" s="28"/>
    </row>
    <row r="178" spans="6:7" ht="12.75">
      <c r="F178" s="46"/>
      <c r="G178" s="28"/>
    </row>
    <row r="179" spans="6:7" ht="12.75">
      <c r="F179" s="46"/>
      <c r="G179" s="28"/>
    </row>
    <row r="180" spans="6:7" ht="12.75">
      <c r="F180" s="46"/>
      <c r="G180" s="28"/>
    </row>
    <row r="181" spans="6:7" ht="12.75">
      <c r="F181" s="46"/>
      <c r="G181" s="28"/>
    </row>
    <row r="182" spans="6:7" ht="12.75">
      <c r="F182" s="46"/>
      <c r="G182" s="28"/>
    </row>
    <row r="183" spans="6:7" ht="12.75">
      <c r="F183" s="46"/>
      <c r="G183" s="28"/>
    </row>
    <row r="184" spans="6:7" ht="12.75">
      <c r="F184" s="46"/>
      <c r="G184" s="28"/>
    </row>
    <row r="185" spans="6:7" ht="12.75">
      <c r="F185" s="46"/>
      <c r="G185" s="28"/>
    </row>
    <row r="186" spans="6:7" ht="12.75">
      <c r="F186" s="46"/>
      <c r="G186" s="28"/>
    </row>
    <row r="187" spans="6:7" ht="12.75">
      <c r="F187" s="46"/>
      <c r="G187" s="28"/>
    </row>
    <row r="188" spans="6:7" ht="12.75">
      <c r="F188" s="46"/>
      <c r="G188" s="28"/>
    </row>
    <row r="189" spans="6:7" ht="12.75">
      <c r="F189" s="46"/>
      <c r="G189" s="28"/>
    </row>
    <row r="190" spans="6:7" ht="12.75">
      <c r="F190" s="46"/>
      <c r="G190" s="28"/>
    </row>
    <row r="191" spans="6:7" ht="12.75">
      <c r="F191" s="46"/>
      <c r="G191" s="28"/>
    </row>
    <row r="192" spans="6:7" ht="12.75">
      <c r="F192" s="46"/>
      <c r="G192" s="28"/>
    </row>
    <row r="193" spans="6:7" ht="12.75">
      <c r="F193" s="46"/>
      <c r="G193" s="28"/>
    </row>
    <row r="194" spans="6:7" ht="12.75">
      <c r="F194" s="46"/>
      <c r="G194" s="28"/>
    </row>
    <row r="195" spans="6:7" ht="12.75">
      <c r="F195" s="46"/>
      <c r="G195" s="28"/>
    </row>
    <row r="196" spans="6:7" ht="12.75">
      <c r="F196" s="46"/>
      <c r="G196" s="28"/>
    </row>
    <row r="197" spans="6:7" ht="12.75">
      <c r="F197" s="46"/>
      <c r="G197" s="28"/>
    </row>
    <row r="198" spans="6:7" ht="12.75">
      <c r="F198" s="46"/>
      <c r="G198" s="28"/>
    </row>
    <row r="199" spans="6:7" ht="12.75">
      <c r="F199" s="46"/>
      <c r="G199" s="28"/>
    </row>
    <row r="200" spans="6:7" ht="12.75">
      <c r="F200" s="46"/>
      <c r="G200" s="28"/>
    </row>
    <row r="201" spans="6:7" ht="12.75">
      <c r="F201" s="46"/>
      <c r="G201" s="28"/>
    </row>
    <row r="202" spans="6:7" ht="12.75">
      <c r="F202" s="46"/>
      <c r="G202" s="28"/>
    </row>
    <row r="203" spans="6:7" ht="12.75">
      <c r="F203" s="46"/>
      <c r="G203" s="28"/>
    </row>
    <row r="204" spans="6:7" ht="12.75">
      <c r="F204" s="46"/>
      <c r="G204" s="28"/>
    </row>
    <row r="205" spans="6:7" ht="12.75">
      <c r="F205" s="46"/>
      <c r="G205" s="28"/>
    </row>
    <row r="206" spans="6:7" ht="12.75">
      <c r="F206" s="46"/>
      <c r="G206" s="28"/>
    </row>
    <row r="207" spans="6:7" ht="12.75">
      <c r="F207" s="46"/>
      <c r="G207" s="28"/>
    </row>
    <row r="208" spans="6:7" ht="12.75">
      <c r="F208" s="46"/>
      <c r="G208" s="28"/>
    </row>
    <row r="209" spans="6:7" ht="12.75">
      <c r="F209" s="46"/>
      <c r="G209" s="28"/>
    </row>
    <row r="210" spans="6:7" ht="12.75">
      <c r="F210" s="46"/>
      <c r="G210" s="28"/>
    </row>
    <row r="211" spans="6:7" ht="12.75">
      <c r="F211" s="46"/>
      <c r="G211" s="28"/>
    </row>
    <row r="212" spans="6:7" ht="12.75">
      <c r="F212" s="46"/>
      <c r="G212" s="28"/>
    </row>
    <row r="213" spans="6:7" ht="12.75">
      <c r="F213" s="46"/>
      <c r="G213" s="28"/>
    </row>
    <row r="214" spans="6:7" ht="12.75">
      <c r="F214" s="46"/>
      <c r="G214" s="28"/>
    </row>
    <row r="215" spans="6:7" ht="12.75">
      <c r="F215" s="46"/>
      <c r="G215" s="28"/>
    </row>
    <row r="216" spans="6:7" ht="12.75">
      <c r="F216" s="46"/>
      <c r="G216" s="28"/>
    </row>
    <row r="217" spans="6:7" ht="12.75">
      <c r="F217" s="46"/>
      <c r="G217" s="28"/>
    </row>
    <row r="218" spans="6:7" ht="12.75">
      <c r="F218" s="46"/>
      <c r="G218" s="28"/>
    </row>
    <row r="219" spans="6:7" ht="12.75">
      <c r="F219" s="46"/>
      <c r="G219" s="28"/>
    </row>
    <row r="220" spans="6:7" ht="12.75">
      <c r="F220" s="46"/>
      <c r="G220" s="28"/>
    </row>
    <row r="221" spans="6:7" ht="12.75">
      <c r="F221" s="46"/>
      <c r="G221" s="28"/>
    </row>
    <row r="222" spans="6:7" ht="12.75">
      <c r="F222" s="46"/>
      <c r="G222" s="28"/>
    </row>
    <row r="223" spans="6:7" ht="12.75">
      <c r="F223" s="46"/>
      <c r="G223" s="28"/>
    </row>
    <row r="224" spans="6:7" ht="12.75">
      <c r="F224" s="46"/>
      <c r="G224" s="28"/>
    </row>
    <row r="225" spans="6:7" ht="12.75">
      <c r="F225" s="46"/>
      <c r="G225" s="28"/>
    </row>
    <row r="226" spans="6:7" ht="12.75">
      <c r="F226" s="46"/>
      <c r="G226" s="28"/>
    </row>
    <row r="227" spans="6:7" ht="12.75">
      <c r="F227" s="46"/>
      <c r="G227" s="28"/>
    </row>
    <row r="228" spans="6:7" ht="12.75">
      <c r="F228" s="46"/>
      <c r="G228" s="28"/>
    </row>
    <row r="229" spans="6:7" ht="12.75">
      <c r="F229" s="46"/>
      <c r="G229" s="28"/>
    </row>
    <row r="230" spans="6:7" ht="12.75">
      <c r="F230" s="46"/>
      <c r="G230" s="28"/>
    </row>
    <row r="231" spans="6:7" ht="12.75">
      <c r="F231" s="46"/>
      <c r="G231" s="28"/>
    </row>
    <row r="232" spans="6:7" ht="12.75">
      <c r="F232" s="46"/>
      <c r="G232" s="28"/>
    </row>
    <row r="233" spans="6:7" ht="12.75">
      <c r="F233" s="46"/>
      <c r="G233" s="28"/>
    </row>
    <row r="234" spans="6:7" ht="12.75">
      <c r="F234" s="46"/>
      <c r="G234" s="28"/>
    </row>
    <row r="235" spans="6:7" ht="12.75">
      <c r="F235" s="46"/>
      <c r="G235" s="28"/>
    </row>
    <row r="236" spans="6:7" ht="12.75">
      <c r="F236" s="46"/>
      <c r="G236" s="28"/>
    </row>
    <row r="237" spans="6:7" ht="12.75">
      <c r="F237" s="46"/>
      <c r="G237" s="28"/>
    </row>
    <row r="238" spans="6:7" ht="12.75">
      <c r="F238" s="46"/>
      <c r="G238" s="28"/>
    </row>
    <row r="239" spans="6:7" ht="12.75">
      <c r="F239" s="46"/>
      <c r="G239" s="28"/>
    </row>
    <row r="240" spans="6:7" ht="12.75">
      <c r="F240" s="46"/>
      <c r="G240" s="28"/>
    </row>
    <row r="241" spans="6:7" ht="12.75">
      <c r="F241" s="46"/>
      <c r="G241" s="28"/>
    </row>
    <row r="242" spans="6:7" ht="12.75">
      <c r="F242" s="46"/>
      <c r="G242" s="28"/>
    </row>
    <row r="243" spans="6:7" ht="12.75">
      <c r="F243" s="46"/>
      <c r="G243" s="28"/>
    </row>
    <row r="244" spans="6:7" ht="12.75">
      <c r="F244" s="46"/>
      <c r="G244" s="28"/>
    </row>
    <row r="245" spans="6:7" ht="12.75">
      <c r="F245" s="46"/>
      <c r="G245" s="28"/>
    </row>
    <row r="246" spans="6:7" ht="12.75">
      <c r="F246" s="46"/>
      <c r="G246" s="28"/>
    </row>
    <row r="247" spans="6:7" ht="12.75">
      <c r="F247" s="46"/>
      <c r="G247" s="28"/>
    </row>
    <row r="248" spans="6:7" ht="12.75">
      <c r="F248" s="46"/>
      <c r="G248" s="28"/>
    </row>
    <row r="249" spans="6:7" ht="12.75">
      <c r="F249" s="46"/>
      <c r="G249" s="28"/>
    </row>
    <row r="250" spans="6:7" ht="12.75">
      <c r="F250" s="46"/>
      <c r="G250" s="28"/>
    </row>
    <row r="251" spans="6:7" ht="12.75">
      <c r="F251" s="46"/>
      <c r="G251" s="28"/>
    </row>
    <row r="252" spans="6:7" ht="12.75">
      <c r="F252" s="46"/>
      <c r="G252" s="28"/>
    </row>
    <row r="253" spans="6:7" ht="12.75">
      <c r="F253" s="46"/>
      <c r="G253" s="28"/>
    </row>
    <row r="254" spans="6:7" ht="12.75">
      <c r="F254" s="46"/>
      <c r="G254" s="28"/>
    </row>
    <row r="255" spans="6:7" ht="12.75">
      <c r="F255" s="46"/>
      <c r="G255" s="28"/>
    </row>
    <row r="256" spans="6:7" ht="12.75">
      <c r="F256" s="46"/>
      <c r="G256" s="28"/>
    </row>
    <row r="257" spans="6:7" ht="12.75">
      <c r="F257" s="46"/>
      <c r="G257" s="28"/>
    </row>
    <row r="258" spans="6:7" ht="12.75">
      <c r="F258" s="46"/>
      <c r="G258" s="28"/>
    </row>
    <row r="259" spans="6:7" ht="12.75">
      <c r="F259" s="46"/>
      <c r="G259" s="28"/>
    </row>
    <row r="260" spans="6:7" ht="12.75">
      <c r="F260" s="46"/>
      <c r="G260" s="28"/>
    </row>
    <row r="261" spans="6:7" ht="12.75">
      <c r="F261" s="46"/>
      <c r="G261" s="28"/>
    </row>
    <row r="262" spans="6:7" ht="12.75">
      <c r="F262" s="46"/>
      <c r="G262" s="28"/>
    </row>
    <row r="263" spans="6:7" ht="12.75">
      <c r="F263" s="46"/>
      <c r="G263" s="28"/>
    </row>
    <row r="264" spans="6:7" ht="12.75">
      <c r="F264" s="46"/>
      <c r="G264" s="28"/>
    </row>
    <row r="265" spans="6:7" ht="12.75">
      <c r="F265" s="46"/>
      <c r="G265" s="28"/>
    </row>
    <row r="266" spans="6:7" ht="12.75">
      <c r="F266" s="46"/>
      <c r="G266" s="28"/>
    </row>
    <row r="267" spans="6:7" ht="12.75">
      <c r="F267" s="46"/>
      <c r="G267" s="28"/>
    </row>
    <row r="268" spans="6:7" ht="12.75">
      <c r="F268" s="46"/>
      <c r="G268" s="28"/>
    </row>
    <row r="269" spans="6:7" ht="12.75">
      <c r="F269" s="46"/>
      <c r="G269" s="28"/>
    </row>
    <row r="270" spans="6:7" ht="12.75">
      <c r="F270" s="46"/>
      <c r="G270" s="28"/>
    </row>
    <row r="271" spans="6:7" ht="12.75">
      <c r="F271" s="46"/>
      <c r="G271" s="28"/>
    </row>
    <row r="272" spans="6:7" ht="12.75">
      <c r="F272" s="46"/>
      <c r="G272" s="28"/>
    </row>
    <row r="273" spans="6:7" ht="12.75">
      <c r="F273" s="46"/>
      <c r="G273" s="28"/>
    </row>
    <row r="274" spans="6:7" ht="12.75">
      <c r="F274" s="46"/>
      <c r="G274" s="28"/>
    </row>
    <row r="275" spans="6:7" ht="12.75">
      <c r="F275" s="46"/>
      <c r="G275" s="28"/>
    </row>
    <row r="276" spans="6:7" ht="12.75">
      <c r="F276" s="46"/>
      <c r="G276" s="28"/>
    </row>
    <row r="277" spans="6:7" ht="12.75">
      <c r="F277" s="46"/>
      <c r="G277" s="28"/>
    </row>
    <row r="278" spans="6:7" ht="12.75">
      <c r="F278" s="46"/>
      <c r="G278" s="28"/>
    </row>
    <row r="279" spans="6:7" ht="12.75">
      <c r="F279" s="46"/>
      <c r="G279" s="28"/>
    </row>
    <row r="280" spans="6:7" ht="12.75">
      <c r="F280" s="46"/>
      <c r="G280" s="28"/>
    </row>
    <row r="281" spans="6:7" ht="12.75">
      <c r="F281" s="46"/>
      <c r="G281" s="28"/>
    </row>
    <row r="282" spans="6:7" ht="12.75">
      <c r="F282" s="46"/>
      <c r="G282" s="28"/>
    </row>
    <row r="283" spans="6:7" ht="12.75">
      <c r="F283" s="46"/>
      <c r="G283" s="28"/>
    </row>
    <row r="284" spans="6:7" ht="12.75">
      <c r="F284" s="46"/>
      <c r="G284" s="28"/>
    </row>
    <row r="285" spans="6:7" ht="12.75">
      <c r="F285" s="46"/>
      <c r="G285" s="28"/>
    </row>
    <row r="286" spans="6:7" ht="12.75">
      <c r="F286" s="46"/>
      <c r="G286" s="28"/>
    </row>
    <row r="287" spans="6:7" ht="12.75">
      <c r="F287" s="46"/>
      <c r="G287" s="28"/>
    </row>
    <row r="288" spans="6:7" ht="12.75">
      <c r="F288" s="46"/>
      <c r="G288" s="28"/>
    </row>
    <row r="289" spans="6:7" ht="12.75">
      <c r="F289" s="46"/>
      <c r="G289" s="28"/>
    </row>
    <row r="290" spans="6:7" ht="12.75">
      <c r="F290" s="46"/>
      <c r="G290" s="28"/>
    </row>
    <row r="291" spans="6:7" ht="12.75">
      <c r="F291" s="46"/>
      <c r="G291" s="28"/>
    </row>
    <row r="292" spans="6:7" ht="12.75">
      <c r="F292" s="46"/>
      <c r="G292" s="28"/>
    </row>
    <row r="293" spans="6:7" ht="12.75">
      <c r="F293" s="46"/>
      <c r="G293" s="28"/>
    </row>
    <row r="294" spans="6:7" ht="12.75">
      <c r="F294" s="46"/>
      <c r="G294" s="28"/>
    </row>
    <row r="295" spans="6:7" ht="12.75">
      <c r="F295" s="46"/>
      <c r="G295" s="28"/>
    </row>
    <row r="296" spans="6:7" ht="12.75">
      <c r="F296" s="46"/>
      <c r="G296" s="28"/>
    </row>
    <row r="297" spans="6:7" ht="12.75">
      <c r="F297" s="46"/>
      <c r="G297" s="28"/>
    </row>
    <row r="298" spans="6:7" ht="12.75">
      <c r="F298" s="46"/>
      <c r="G298" s="28"/>
    </row>
    <row r="299" spans="6:7" ht="12.75">
      <c r="F299" s="46"/>
      <c r="G299" s="28"/>
    </row>
    <row r="300" spans="6:7" ht="12.75">
      <c r="F300" s="46"/>
      <c r="G300" s="28"/>
    </row>
    <row r="301" spans="6:7" ht="12.75">
      <c r="F301" s="46"/>
      <c r="G301" s="28"/>
    </row>
    <row r="302" spans="6:7" ht="12.75">
      <c r="F302" s="46"/>
      <c r="G302" s="28"/>
    </row>
    <row r="303" spans="6:7" ht="12.75">
      <c r="F303" s="46"/>
      <c r="G303" s="28"/>
    </row>
    <row r="304" spans="6:7" ht="12.75">
      <c r="F304" s="46"/>
      <c r="G304" s="28"/>
    </row>
    <row r="305" spans="6:7" ht="12.75">
      <c r="F305" s="46"/>
      <c r="G305" s="28"/>
    </row>
    <row r="306" spans="6:7" ht="12.75">
      <c r="F306" s="46"/>
      <c r="G306" s="28"/>
    </row>
    <row r="307" spans="6:7" ht="12.75">
      <c r="F307" s="46"/>
      <c r="G307" s="28"/>
    </row>
    <row r="308" spans="6:7" ht="12.75">
      <c r="F308" s="46"/>
      <c r="G308" s="28"/>
    </row>
    <row r="309" spans="6:7" ht="12.75">
      <c r="F309" s="46"/>
      <c r="G309" s="28"/>
    </row>
    <row r="310" spans="6:7" ht="12.75">
      <c r="F310" s="46"/>
      <c r="G310" s="28"/>
    </row>
    <row r="311" spans="6:7" ht="12.75">
      <c r="F311" s="46"/>
      <c r="G311" s="28"/>
    </row>
    <row r="312" spans="6:7" ht="12.75">
      <c r="F312" s="46"/>
      <c r="G312" s="28"/>
    </row>
    <row r="313" spans="6:7" ht="12.75">
      <c r="F313" s="46"/>
      <c r="G313" s="28"/>
    </row>
    <row r="314" spans="6:7" ht="12.75">
      <c r="F314" s="46"/>
      <c r="G314" s="28"/>
    </row>
    <row r="315" spans="6:7" ht="12.75">
      <c r="F315" s="46"/>
      <c r="G315" s="28"/>
    </row>
    <row r="316" spans="6:7" ht="12.75">
      <c r="F316" s="46"/>
      <c r="G316" s="28"/>
    </row>
    <row r="317" spans="6:7" ht="12.75">
      <c r="F317" s="46"/>
      <c r="G317" s="28"/>
    </row>
    <row r="318" spans="6:7" ht="12.75">
      <c r="F318" s="46"/>
      <c r="G318" s="28"/>
    </row>
    <row r="319" spans="6:7" ht="12.75">
      <c r="F319" s="46"/>
      <c r="G319" s="28"/>
    </row>
    <row r="320" spans="6:7" ht="12.75">
      <c r="F320" s="46"/>
      <c r="G320" s="28"/>
    </row>
    <row r="321" spans="6:7" ht="12.75">
      <c r="F321" s="46"/>
      <c r="G321" s="28"/>
    </row>
    <row r="322" spans="6:7" ht="12.75">
      <c r="F322" s="46"/>
      <c r="G322" s="28"/>
    </row>
    <row r="323" spans="6:7" ht="12.75">
      <c r="F323" s="46"/>
      <c r="G323" s="28"/>
    </row>
    <row r="324" spans="6:7" ht="12.75">
      <c r="F324" s="46"/>
      <c r="G324" s="28"/>
    </row>
    <row r="325" spans="6:7" ht="12.75">
      <c r="F325" s="46"/>
      <c r="G325" s="28"/>
    </row>
    <row r="326" spans="6:7" ht="12.75">
      <c r="F326" s="46"/>
      <c r="G326" s="28"/>
    </row>
    <row r="327" spans="6:7" ht="12.75">
      <c r="F327" s="46"/>
      <c r="G327" s="28"/>
    </row>
    <row r="328" spans="6:7" ht="12.75">
      <c r="F328" s="46"/>
      <c r="G328" s="28"/>
    </row>
    <row r="329" spans="6:7" ht="12.75">
      <c r="F329" s="46"/>
      <c r="G329" s="28"/>
    </row>
    <row r="330" spans="6:7" ht="12.75">
      <c r="F330" s="46"/>
      <c r="G330" s="28"/>
    </row>
    <row r="331" spans="6:7" ht="12.75">
      <c r="F331" s="46"/>
      <c r="G331" s="28"/>
    </row>
    <row r="332" spans="6:7" ht="12.75">
      <c r="F332" s="46"/>
      <c r="G332" s="28"/>
    </row>
    <row r="333" spans="6:7" ht="12.75">
      <c r="F333" s="46"/>
      <c r="G333" s="28"/>
    </row>
    <row r="334" spans="6:7" ht="12.75">
      <c r="F334" s="46"/>
      <c r="G334" s="28"/>
    </row>
    <row r="335" spans="6:7" ht="12.75">
      <c r="F335" s="46"/>
      <c r="G335" s="28"/>
    </row>
    <row r="336" spans="6:7" ht="12.75">
      <c r="F336" s="46"/>
      <c r="G336" s="28"/>
    </row>
    <row r="337" spans="6:7" ht="12.75">
      <c r="F337" s="46"/>
      <c r="G337" s="28"/>
    </row>
    <row r="338" spans="6:7" ht="12.75">
      <c r="F338" s="46"/>
      <c r="G338" s="28"/>
    </row>
    <row r="339" spans="6:7" ht="12.75">
      <c r="F339" s="46"/>
      <c r="G339" s="28"/>
    </row>
    <row r="340" spans="6:7" ht="12.75">
      <c r="F340" s="46"/>
      <c r="G340" s="28"/>
    </row>
    <row r="341" spans="6:7" ht="12.75">
      <c r="F341" s="46"/>
      <c r="G341" s="28"/>
    </row>
    <row r="342" spans="6:7" ht="12.75">
      <c r="F342" s="46"/>
      <c r="G342" s="28"/>
    </row>
    <row r="343" spans="6:7" ht="12.75">
      <c r="F343" s="46"/>
      <c r="G343" s="28"/>
    </row>
    <row r="344" spans="6:7" ht="12.75">
      <c r="F344" s="46"/>
      <c r="G344" s="28"/>
    </row>
    <row r="345" spans="6:7" ht="12.75">
      <c r="F345" s="46"/>
      <c r="G345" s="28"/>
    </row>
    <row r="346" spans="6:7" ht="12.75">
      <c r="F346" s="46"/>
      <c r="G346" s="28"/>
    </row>
    <row r="347" spans="6:7" ht="12.75">
      <c r="F347" s="46"/>
      <c r="G347" s="28"/>
    </row>
    <row r="348" spans="6:7" ht="12.75">
      <c r="F348" s="46"/>
      <c r="G348" s="28"/>
    </row>
    <row r="349" spans="6:7" ht="12.75">
      <c r="F349" s="46"/>
      <c r="G349" s="28"/>
    </row>
    <row r="350" spans="6:7" ht="12.75">
      <c r="F350" s="46"/>
      <c r="G350" s="28"/>
    </row>
    <row r="351" spans="6:7" ht="12.75">
      <c r="F351" s="46"/>
      <c r="G351" s="28"/>
    </row>
    <row r="352" spans="6:7" ht="12.75">
      <c r="F352" s="46"/>
      <c r="G352" s="28"/>
    </row>
    <row r="353" spans="6:7" ht="12.75">
      <c r="F353" s="46"/>
      <c r="G353" s="28"/>
    </row>
    <row r="354" spans="6:7" ht="12.75">
      <c r="F354" s="46"/>
      <c r="G354" s="28"/>
    </row>
    <row r="355" spans="6:7" ht="12.75">
      <c r="F355" s="46"/>
      <c r="G355" s="28"/>
    </row>
    <row r="356" spans="6:7" ht="12.75">
      <c r="F356" s="46"/>
      <c r="G356" s="28"/>
    </row>
    <row r="357" spans="6:7" ht="12.75">
      <c r="F357" s="46"/>
      <c r="G357" s="28"/>
    </row>
    <row r="358" spans="6:7" ht="12.75">
      <c r="F358" s="46"/>
      <c r="G358" s="28"/>
    </row>
    <row r="359" spans="6:7" ht="12.75">
      <c r="F359" s="46"/>
      <c r="G359" s="28"/>
    </row>
    <row r="360" spans="6:7" ht="12.75">
      <c r="F360" s="46"/>
      <c r="G360" s="28"/>
    </row>
    <row r="361" spans="6:7" ht="12.75">
      <c r="F361" s="46"/>
      <c r="G361" s="28"/>
    </row>
    <row r="362" spans="6:7" ht="12.75">
      <c r="F362" s="46"/>
      <c r="G362" s="28"/>
    </row>
    <row r="363" spans="6:7" ht="12.75">
      <c r="F363" s="46"/>
      <c r="G363" s="28"/>
    </row>
    <row r="364" spans="6:7" ht="12.75">
      <c r="F364" s="46"/>
      <c r="G364" s="28"/>
    </row>
    <row r="365" spans="6:7" ht="12.75">
      <c r="F365" s="46"/>
      <c r="G365" s="28"/>
    </row>
    <row r="366" spans="6:7" ht="12.75">
      <c r="F366" s="46"/>
      <c r="G366" s="28"/>
    </row>
    <row r="367" spans="6:7" ht="12.75">
      <c r="F367" s="46"/>
      <c r="G367" s="28"/>
    </row>
    <row r="368" spans="6:7" ht="12.75">
      <c r="F368" s="46"/>
      <c r="G368" s="28"/>
    </row>
    <row r="369" spans="6:7" ht="12.75">
      <c r="F369" s="46"/>
      <c r="G369" s="28"/>
    </row>
    <row r="370" spans="6:7" ht="12.75">
      <c r="F370" s="46"/>
      <c r="G370" s="28"/>
    </row>
    <row r="371" spans="6:7" ht="12.75">
      <c r="F371" s="46"/>
      <c r="G371" s="28"/>
    </row>
    <row r="372" spans="6:7" ht="12.75">
      <c r="F372" s="46"/>
      <c r="G372" s="28"/>
    </row>
    <row r="373" spans="6:7" ht="12.75">
      <c r="F373" s="46"/>
      <c r="G373" s="28"/>
    </row>
    <row r="374" spans="6:7" ht="12.75">
      <c r="F374" s="46"/>
      <c r="G374" s="28"/>
    </row>
    <row r="375" spans="6:7" ht="12.75">
      <c r="F375" s="46"/>
      <c r="G375" s="28"/>
    </row>
    <row r="376" spans="6:7" ht="12.75">
      <c r="F376" s="46"/>
      <c r="G376" s="28"/>
    </row>
    <row r="377" spans="6:7" ht="12.75">
      <c r="F377" s="46"/>
      <c r="G377" s="28"/>
    </row>
    <row r="378" spans="6:7" ht="12.75">
      <c r="F378" s="46"/>
      <c r="G378" s="28"/>
    </row>
    <row r="379" spans="6:7" ht="12.75">
      <c r="F379" s="46"/>
      <c r="G379" s="28"/>
    </row>
    <row r="380" spans="6:7" ht="12.75">
      <c r="F380" s="46"/>
      <c r="G380" s="28"/>
    </row>
    <row r="381" spans="6:7" ht="12.75">
      <c r="F381" s="46"/>
      <c r="G381" s="28"/>
    </row>
    <row r="382" spans="6:7" ht="12.75">
      <c r="F382" s="46"/>
      <c r="G382" s="28"/>
    </row>
    <row r="383" spans="6:7" ht="12.75">
      <c r="F383" s="46"/>
      <c r="G383" s="28"/>
    </row>
    <row r="384" spans="6:7" ht="12.75">
      <c r="F384" s="46"/>
      <c r="G384" s="28"/>
    </row>
    <row r="385" spans="6:7" ht="12.75">
      <c r="F385" s="46"/>
      <c r="G385" s="28"/>
    </row>
    <row r="386" spans="6:7" ht="12.75">
      <c r="F386" s="46"/>
      <c r="G386" s="28"/>
    </row>
    <row r="387" spans="6:7" ht="12.75">
      <c r="F387" s="46"/>
      <c r="G387" s="28"/>
    </row>
    <row r="388" spans="6:7" ht="12.75">
      <c r="F388" s="46"/>
      <c r="G388" s="28"/>
    </row>
    <row r="389" spans="6:7" ht="12.75">
      <c r="F389" s="46"/>
      <c r="G389" s="28"/>
    </row>
    <row r="390" spans="6:7" ht="12.75">
      <c r="F390" s="46"/>
      <c r="G390" s="28"/>
    </row>
    <row r="391" spans="6:7" ht="12.75">
      <c r="F391" s="46"/>
      <c r="G391" s="28"/>
    </row>
    <row r="392" spans="6:7" ht="12.75">
      <c r="F392" s="46"/>
      <c r="G392" s="28"/>
    </row>
    <row r="393" spans="6:7" ht="12.75">
      <c r="F393" s="46"/>
      <c r="G393" s="28"/>
    </row>
    <row r="394" spans="6:7" ht="12.75">
      <c r="F394" s="46"/>
      <c r="G394" s="28"/>
    </row>
    <row r="395" spans="6:7" ht="12.75">
      <c r="F395" s="46"/>
      <c r="G395" s="28"/>
    </row>
    <row r="396" spans="6:7" ht="12.75">
      <c r="F396" s="46"/>
      <c r="G396" s="28"/>
    </row>
    <row r="397" spans="6:7" ht="12.75">
      <c r="F397" s="46"/>
      <c r="G397" s="28"/>
    </row>
    <row r="398" spans="6:7" ht="12.75">
      <c r="F398" s="46"/>
      <c r="G398" s="28"/>
    </row>
    <row r="399" spans="6:7" ht="12.75">
      <c r="F399" s="46"/>
      <c r="G399" s="28"/>
    </row>
    <row r="400" spans="6:7" ht="12.75">
      <c r="F400" s="46"/>
      <c r="G400" s="28"/>
    </row>
    <row r="401" spans="6:7" ht="12.75">
      <c r="F401" s="46"/>
      <c r="G401" s="28"/>
    </row>
    <row r="402" spans="6:7" ht="12.75">
      <c r="F402" s="46"/>
      <c r="G402" s="28"/>
    </row>
    <row r="403" spans="6:7" ht="12.75">
      <c r="F403" s="46"/>
      <c r="G403" s="28"/>
    </row>
    <row r="404" spans="6:7" ht="12.75">
      <c r="F404" s="46"/>
      <c r="G404" s="28"/>
    </row>
    <row r="405" spans="6:7" ht="12.75">
      <c r="F405" s="46"/>
      <c r="G405" s="28"/>
    </row>
    <row r="406" spans="6:7" ht="12.75">
      <c r="F406" s="46"/>
      <c r="G406" s="28"/>
    </row>
    <row r="407" spans="6:7" ht="12.75">
      <c r="F407" s="46"/>
      <c r="G407" s="28"/>
    </row>
    <row r="408" spans="6:7" ht="12.75">
      <c r="F408" s="46"/>
      <c r="G408" s="28"/>
    </row>
    <row r="409" spans="6:7" ht="12.75">
      <c r="F409" s="46"/>
      <c r="G409" s="28"/>
    </row>
    <row r="410" spans="6:7" ht="12.75">
      <c r="F410" s="46"/>
      <c r="G410" s="28"/>
    </row>
    <row r="411" spans="6:7" ht="12.75">
      <c r="F411" s="46"/>
      <c r="G411" s="28"/>
    </row>
    <row r="412" spans="6:7" ht="12.75">
      <c r="F412" s="46"/>
      <c r="G412" s="28"/>
    </row>
    <row r="413" spans="6:7" ht="12.75">
      <c r="F413" s="46"/>
      <c r="G413" s="28"/>
    </row>
    <row r="414" spans="6:7" ht="12.75">
      <c r="F414" s="46"/>
      <c r="G414" s="28"/>
    </row>
    <row r="415" spans="6:7" ht="12.75">
      <c r="F415" s="46"/>
      <c r="G415" s="28"/>
    </row>
    <row r="416" spans="6:7" ht="12.75">
      <c r="F416" s="46"/>
      <c r="G416" s="28"/>
    </row>
    <row r="417" spans="6:7" ht="12.75">
      <c r="F417" s="46"/>
      <c r="G417" s="28"/>
    </row>
    <row r="418" spans="6:7" ht="12.75">
      <c r="F418" s="46"/>
      <c r="G418" s="28"/>
    </row>
    <row r="419" spans="6:7" ht="12.75">
      <c r="F419" s="46"/>
      <c r="G419" s="28"/>
    </row>
    <row r="420" spans="6:7" ht="12.75">
      <c r="F420" s="46"/>
      <c r="G420" s="28"/>
    </row>
    <row r="421" spans="6:7" ht="12.75">
      <c r="F421" s="46"/>
      <c r="G421" s="28"/>
    </row>
    <row r="422" spans="6:7" ht="12.75">
      <c r="F422" s="46"/>
      <c r="G422" s="28"/>
    </row>
    <row r="423" spans="6:7" ht="12.75">
      <c r="F423" s="46"/>
      <c r="G423" s="28"/>
    </row>
    <row r="424" spans="6:7" ht="12.75">
      <c r="F424" s="46"/>
      <c r="G424" s="28"/>
    </row>
    <row r="425" spans="6:7" ht="12.75">
      <c r="F425" s="46"/>
      <c r="G425" s="28"/>
    </row>
    <row r="426" spans="6:7" ht="12.75">
      <c r="F426" s="46"/>
      <c r="G426" s="28"/>
    </row>
    <row r="427" spans="6:7" ht="12.75">
      <c r="F427" s="46"/>
      <c r="G427" s="28"/>
    </row>
    <row r="428" spans="6:7" ht="12.75">
      <c r="F428" s="46"/>
      <c r="G428" s="28"/>
    </row>
    <row r="429" spans="6:7" ht="12.75">
      <c r="F429" s="46"/>
      <c r="G429" s="28"/>
    </row>
    <row r="430" spans="6:7" ht="12.75">
      <c r="F430" s="46"/>
      <c r="G430" s="28"/>
    </row>
    <row r="431" spans="6:7" ht="12.75">
      <c r="F431" s="46"/>
      <c r="G431" s="28"/>
    </row>
    <row r="432" spans="6:7" ht="12.75">
      <c r="F432" s="46"/>
      <c r="G432" s="28"/>
    </row>
    <row r="433" spans="6:7" ht="12.75">
      <c r="F433" s="46"/>
      <c r="G433" s="28"/>
    </row>
    <row r="434" spans="6:7" ht="12.75">
      <c r="F434" s="46"/>
      <c r="G434" s="28"/>
    </row>
    <row r="435" spans="6:7" ht="12.75">
      <c r="F435" s="46"/>
      <c r="G435" s="28"/>
    </row>
    <row r="436" spans="6:7" ht="12.75">
      <c r="F436" s="46"/>
      <c r="G436" s="28"/>
    </row>
    <row r="437" spans="6:7" ht="12.75">
      <c r="F437" s="46"/>
      <c r="G437" s="28"/>
    </row>
    <row r="438" spans="6:7" ht="12.75">
      <c r="F438" s="46"/>
      <c r="G438" s="28"/>
    </row>
    <row r="439" spans="6:7" ht="12.75">
      <c r="F439" s="46"/>
      <c r="G439" s="28"/>
    </row>
    <row r="440" spans="6:7" ht="12.75">
      <c r="F440" s="46"/>
      <c r="G440" s="28"/>
    </row>
    <row r="441" spans="6:7" ht="12.75">
      <c r="F441" s="46"/>
      <c r="G441" s="28"/>
    </row>
    <row r="442" spans="6:7" ht="12.75">
      <c r="F442" s="46"/>
      <c r="G442" s="28"/>
    </row>
    <row r="443" spans="6:7" ht="12.75">
      <c r="F443" s="46"/>
      <c r="G443" s="28"/>
    </row>
    <row r="444" spans="6:7" ht="12.75">
      <c r="F444" s="46"/>
      <c r="G444" s="28"/>
    </row>
    <row r="445" spans="6:7" ht="12.75">
      <c r="F445" s="46"/>
      <c r="G445" s="28"/>
    </row>
    <row r="446" spans="6:7" ht="12.75">
      <c r="F446" s="46"/>
      <c r="G446" s="28"/>
    </row>
    <row r="447" spans="6:7" ht="12.75">
      <c r="F447" s="46"/>
      <c r="G447" s="28"/>
    </row>
    <row r="448" spans="6:7" ht="12.75">
      <c r="F448" s="46"/>
      <c r="G448" s="28"/>
    </row>
    <row r="449" spans="6:7" ht="12.75">
      <c r="F449" s="46"/>
      <c r="G449" s="28"/>
    </row>
    <row r="450" spans="6:7" ht="12.75">
      <c r="F450" s="46"/>
      <c r="G450" s="28"/>
    </row>
    <row r="451" spans="6:7" ht="12.75">
      <c r="F451" s="46"/>
      <c r="G451" s="28"/>
    </row>
    <row r="452" spans="6:7" ht="12.75">
      <c r="F452" s="46"/>
      <c r="G452" s="28"/>
    </row>
    <row r="453" spans="6:7" ht="12.75">
      <c r="F453" s="46"/>
      <c r="G453" s="28"/>
    </row>
    <row r="454" spans="6:7" ht="12.75">
      <c r="F454" s="46"/>
      <c r="G454" s="28"/>
    </row>
    <row r="455" spans="6:7" ht="12.75">
      <c r="F455" s="46"/>
      <c r="G455" s="28"/>
    </row>
    <row r="456" spans="6:7" ht="12.75">
      <c r="F456" s="46"/>
      <c r="G456" s="28"/>
    </row>
    <row r="457" spans="6:7" ht="12.75">
      <c r="F457" s="46"/>
      <c r="G457" s="28"/>
    </row>
    <row r="458" spans="6:7" ht="12.75">
      <c r="F458" s="46"/>
      <c r="G458" s="28"/>
    </row>
    <row r="459" spans="6:7" ht="12.75">
      <c r="F459" s="46"/>
      <c r="G459" s="28"/>
    </row>
    <row r="460" spans="6:7" ht="12.75">
      <c r="F460" s="46"/>
      <c r="G460" s="28"/>
    </row>
    <row r="461" spans="6:7" ht="12.75">
      <c r="F461" s="46"/>
      <c r="G461" s="28"/>
    </row>
    <row r="462" spans="6:7" ht="12.75">
      <c r="F462" s="46"/>
      <c r="G462" s="28"/>
    </row>
    <row r="463" spans="6:7" ht="12.75">
      <c r="F463" s="46"/>
      <c r="G463" s="28"/>
    </row>
    <row r="464" spans="6:7" ht="12.75">
      <c r="F464" s="46"/>
      <c r="G464" s="28"/>
    </row>
    <row r="465" spans="6:7" ht="12.75">
      <c r="F465" s="46"/>
      <c r="G465" s="28"/>
    </row>
    <row r="466" spans="6:7" ht="12.75">
      <c r="F466" s="46"/>
      <c r="G466" s="28"/>
    </row>
    <row r="467" spans="6:7" ht="12.75">
      <c r="F467" s="46"/>
      <c r="G467" s="28"/>
    </row>
    <row r="468" spans="6:7" ht="12.75">
      <c r="F468" s="46"/>
      <c r="G468" s="28"/>
    </row>
    <row r="469" spans="6:7" ht="12.75">
      <c r="F469" s="46"/>
      <c r="G469" s="28"/>
    </row>
    <row r="470" spans="6:7" ht="12.75">
      <c r="F470" s="46"/>
      <c r="G470" s="28"/>
    </row>
    <row r="471" spans="6:7" ht="12.75">
      <c r="F471" s="46"/>
      <c r="G471" s="28"/>
    </row>
    <row r="472" spans="6:7" ht="12.75">
      <c r="F472" s="46"/>
      <c r="G472" s="28"/>
    </row>
    <row r="473" spans="6:7" ht="12.75">
      <c r="F473" s="46"/>
      <c r="G473" s="28"/>
    </row>
    <row r="474" spans="6:7" ht="12.75">
      <c r="F474" s="46"/>
      <c r="G474" s="28"/>
    </row>
    <row r="475" spans="6:7" ht="12.75">
      <c r="F475" s="46"/>
      <c r="G475" s="28"/>
    </row>
    <row r="476" spans="6:7" ht="12.75">
      <c r="F476" s="46"/>
      <c r="G476" s="28"/>
    </row>
    <row r="477" spans="6:7" ht="12.75">
      <c r="F477" s="46"/>
      <c r="G477" s="28"/>
    </row>
    <row r="478" spans="6:7" ht="12.75">
      <c r="F478" s="46"/>
      <c r="G478" s="28"/>
    </row>
    <row r="479" spans="6:7" ht="12.75">
      <c r="F479" s="46"/>
      <c r="G479" s="28"/>
    </row>
    <row r="480" spans="6:7" ht="12.75">
      <c r="F480" s="46"/>
      <c r="G480" s="28"/>
    </row>
    <row r="481" spans="6:7" ht="12.75">
      <c r="F481" s="46"/>
      <c r="G481" s="28"/>
    </row>
    <row r="482" spans="6:7" ht="12.75">
      <c r="F482" s="46"/>
      <c r="G482" s="28"/>
    </row>
    <row r="483" spans="6:7" ht="12.75">
      <c r="F483" s="46"/>
      <c r="G483" s="28"/>
    </row>
    <row r="484" spans="6:7" ht="12.75">
      <c r="F484" s="46"/>
      <c r="G484" s="28"/>
    </row>
    <row r="485" spans="6:7" ht="12.75">
      <c r="F485" s="46"/>
      <c r="G485" s="28"/>
    </row>
    <row r="486" spans="6:7" ht="12.75">
      <c r="F486" s="46"/>
      <c r="G486" s="28"/>
    </row>
    <row r="487" spans="6:7" ht="12.75">
      <c r="F487" s="46"/>
      <c r="G487" s="28"/>
    </row>
    <row r="488" spans="6:7" ht="12.75">
      <c r="F488" s="46"/>
      <c r="G488" s="28"/>
    </row>
    <row r="489" spans="6:7" ht="12.75">
      <c r="F489" s="46"/>
      <c r="G489" s="28"/>
    </row>
    <row r="490" spans="6:7" ht="12.75">
      <c r="F490" s="46"/>
      <c r="G490" s="28"/>
    </row>
    <row r="491" spans="6:7" ht="12.75">
      <c r="F491" s="46"/>
      <c r="G491" s="28"/>
    </row>
    <row r="492" spans="6:7" ht="12.75">
      <c r="F492" s="46"/>
      <c r="G492" s="28"/>
    </row>
    <row r="493" spans="6:7" ht="12.75">
      <c r="F493" s="46"/>
      <c r="G493" s="28"/>
    </row>
    <row r="494" spans="6:7" ht="12.75">
      <c r="F494" s="46"/>
      <c r="G494" s="28"/>
    </row>
    <row r="495" spans="6:7" ht="12.75">
      <c r="F495" s="46"/>
      <c r="G495" s="28"/>
    </row>
    <row r="496" spans="6:7" ht="12.75">
      <c r="F496" s="46"/>
      <c r="G496" s="28"/>
    </row>
    <row r="497" spans="6:7" ht="12.75">
      <c r="F497" s="46"/>
      <c r="G497" s="28"/>
    </row>
    <row r="498" spans="6:7" ht="12.75">
      <c r="F498" s="46"/>
      <c r="G498" s="28"/>
    </row>
    <row r="499" spans="6:7" ht="12.75">
      <c r="F499" s="46"/>
      <c r="G499" s="28"/>
    </row>
    <row r="500" spans="6:7" ht="12.75">
      <c r="F500" s="46"/>
      <c r="G500" s="28"/>
    </row>
    <row r="501" spans="6:7" ht="12.75">
      <c r="F501" s="46"/>
      <c r="G501" s="28"/>
    </row>
    <row r="502" spans="6:7" ht="12.75">
      <c r="F502" s="46"/>
      <c r="G502" s="28"/>
    </row>
    <row r="503" spans="6:7" ht="12.75">
      <c r="F503" s="46"/>
      <c r="G503" s="28"/>
    </row>
    <row r="504" spans="6:7" ht="12.75">
      <c r="F504" s="46"/>
      <c r="G504" s="28"/>
    </row>
    <row r="505" spans="6:7" ht="12.75">
      <c r="F505" s="46"/>
      <c r="G505" s="28"/>
    </row>
    <row r="506" spans="6:7" ht="12.75">
      <c r="F506" s="46"/>
      <c r="G506" s="28"/>
    </row>
    <row r="507" spans="6:7" ht="12.75">
      <c r="F507" s="46"/>
      <c r="G507" s="28"/>
    </row>
    <row r="508" spans="6:7" ht="12.75">
      <c r="F508" s="46"/>
      <c r="G508" s="28"/>
    </row>
    <row r="509" spans="6:7" ht="12.75">
      <c r="F509" s="46"/>
      <c r="G509" s="28"/>
    </row>
    <row r="510" spans="6:7" ht="12.75">
      <c r="F510" s="46"/>
      <c r="G510" s="28"/>
    </row>
    <row r="511" spans="6:7" ht="12.75">
      <c r="F511" s="46"/>
      <c r="G511" s="28"/>
    </row>
    <row r="512" spans="6:7" ht="12.75">
      <c r="F512" s="46"/>
      <c r="G512" s="28"/>
    </row>
    <row r="513" spans="6:7" ht="12.75">
      <c r="F513" s="46"/>
      <c r="G513" s="28"/>
    </row>
    <row r="514" spans="6:7" ht="12.75">
      <c r="F514" s="46"/>
      <c r="G514" s="28"/>
    </row>
    <row r="515" spans="6:7" ht="12.75">
      <c r="F515" s="46"/>
      <c r="G515" s="28"/>
    </row>
    <row r="516" spans="6:7" ht="12.75">
      <c r="F516" s="46"/>
      <c r="G516" s="28"/>
    </row>
    <row r="517" spans="6:7" ht="12.75">
      <c r="F517" s="46"/>
      <c r="G517" s="28"/>
    </row>
    <row r="518" spans="6:7" ht="12.75">
      <c r="F518" s="46"/>
      <c r="G518" s="28"/>
    </row>
    <row r="519" spans="6:7" ht="12.75">
      <c r="F519" s="46"/>
      <c r="G519" s="28"/>
    </row>
    <row r="520" spans="6:7" ht="12.75">
      <c r="F520" s="46"/>
      <c r="G520" s="28"/>
    </row>
    <row r="521" spans="6:7" ht="12.75">
      <c r="F521" s="46"/>
      <c r="G521" s="28"/>
    </row>
    <row r="522" spans="6:7" ht="12.75">
      <c r="F522" s="46"/>
      <c r="G522" s="28"/>
    </row>
    <row r="523" spans="6:7" ht="12.75">
      <c r="F523" s="46"/>
      <c r="G523" s="28"/>
    </row>
    <row r="524" spans="6:7" ht="12.75">
      <c r="F524" s="46"/>
      <c r="G524" s="28"/>
    </row>
    <row r="525" spans="6:7" ht="12.75">
      <c r="F525" s="46"/>
      <c r="G525" s="28"/>
    </row>
    <row r="526" spans="6:7" ht="12.75">
      <c r="F526" s="46"/>
      <c r="G526" s="28"/>
    </row>
    <row r="527" spans="6:7" ht="12.75">
      <c r="F527" s="46"/>
      <c r="G527" s="28"/>
    </row>
    <row r="528" spans="6:7" ht="12.75">
      <c r="F528" s="46"/>
      <c r="G528" s="28"/>
    </row>
    <row r="529" spans="6:7" ht="12.75">
      <c r="F529" s="46"/>
      <c r="G529" s="28"/>
    </row>
    <row r="530" spans="6:7" ht="12.75">
      <c r="F530" s="46"/>
      <c r="G530" s="28"/>
    </row>
    <row r="531" spans="6:7" ht="12.75">
      <c r="F531" s="46"/>
      <c r="G531" s="28"/>
    </row>
    <row r="532" spans="6:7" ht="12.75">
      <c r="F532" s="46"/>
      <c r="G532" s="28"/>
    </row>
    <row r="533" spans="6:7" ht="12.75">
      <c r="F533" s="46"/>
      <c r="G533" s="28"/>
    </row>
    <row r="534" spans="6:7" ht="12.75">
      <c r="F534" s="46"/>
      <c r="G534" s="28"/>
    </row>
    <row r="535" spans="6:7" ht="12.75">
      <c r="F535" s="46"/>
      <c r="G535" s="28"/>
    </row>
    <row r="536" spans="6:7" ht="12.75">
      <c r="F536" s="46"/>
      <c r="G536" s="28"/>
    </row>
    <row r="537" spans="6:7" ht="12.75">
      <c r="F537" s="46"/>
      <c r="G537" s="28"/>
    </row>
    <row r="538" spans="6:7" ht="12.75">
      <c r="F538" s="46"/>
      <c r="G538" s="28"/>
    </row>
    <row r="539" spans="6:7" ht="12.75">
      <c r="F539" s="46"/>
      <c r="G539" s="28"/>
    </row>
    <row r="540" spans="6:7" ht="12.75">
      <c r="F540" s="46"/>
      <c r="G540" s="28"/>
    </row>
    <row r="541" spans="6:7" ht="12.75">
      <c r="F541" s="46"/>
      <c r="G541" s="28"/>
    </row>
    <row r="542" spans="6:7" ht="12.75">
      <c r="F542" s="46"/>
      <c r="G542" s="28"/>
    </row>
    <row r="543" spans="6:7" ht="12.75">
      <c r="F543" s="46"/>
      <c r="G543" s="28"/>
    </row>
    <row r="544" spans="6:7" ht="12.75">
      <c r="F544" s="46"/>
      <c r="G544" s="28"/>
    </row>
    <row r="545" spans="6:7" ht="12.75">
      <c r="F545" s="46"/>
      <c r="G545" s="28"/>
    </row>
    <row r="546" spans="6:7" ht="12.75">
      <c r="F546" s="46"/>
      <c r="G546" s="28"/>
    </row>
    <row r="547" spans="6:7" ht="12.75">
      <c r="F547" s="46"/>
      <c r="G547" s="28"/>
    </row>
    <row r="548" spans="6:7" ht="12.75">
      <c r="F548" s="46"/>
      <c r="G548" s="28"/>
    </row>
    <row r="549" spans="6:7" ht="12.75">
      <c r="F549" s="46"/>
      <c r="G549" s="28"/>
    </row>
    <row r="550" spans="6:7" ht="12.75">
      <c r="F550" s="46"/>
      <c r="G550" s="28"/>
    </row>
    <row r="551" spans="6:7" ht="12.75">
      <c r="F551" s="46"/>
      <c r="G551" s="28"/>
    </row>
    <row r="552" spans="6:7" ht="12.75">
      <c r="F552" s="46"/>
      <c r="G552" s="28"/>
    </row>
    <row r="553" spans="6:7" ht="12.75">
      <c r="F553" s="46"/>
      <c r="G553" s="28"/>
    </row>
    <row r="554" spans="6:7" ht="12.75">
      <c r="F554" s="46"/>
      <c r="G554" s="28"/>
    </row>
    <row r="555" spans="6:7" ht="12.75">
      <c r="F555" s="46"/>
      <c r="G555" s="28"/>
    </row>
    <row r="556" spans="6:7" ht="12.75">
      <c r="F556" s="46"/>
      <c r="G556" s="28"/>
    </row>
    <row r="557" spans="6:7" ht="12.75">
      <c r="F557" s="46"/>
      <c r="G557" s="28"/>
    </row>
    <row r="558" spans="6:7" ht="12.75">
      <c r="F558" s="46"/>
      <c r="G558" s="28"/>
    </row>
    <row r="559" spans="6:7" ht="12.75">
      <c r="F559" s="46"/>
      <c r="G559" s="28"/>
    </row>
    <row r="560" spans="6:7" ht="12.75">
      <c r="F560" s="46"/>
      <c r="G560" s="28"/>
    </row>
    <row r="561" spans="6:7" ht="12.75">
      <c r="F561" s="46"/>
      <c r="G561" s="28"/>
    </row>
    <row r="562" spans="6:7" ht="12.75">
      <c r="F562" s="46"/>
      <c r="G562" s="28"/>
    </row>
    <row r="563" spans="6:7" ht="12.75">
      <c r="F563" s="46"/>
      <c r="G563" s="28"/>
    </row>
    <row r="564" spans="6:7" ht="12.75">
      <c r="F564" s="46"/>
      <c r="G564" s="28"/>
    </row>
    <row r="565" spans="6:7" ht="12.75">
      <c r="F565" s="46"/>
      <c r="G565" s="28"/>
    </row>
    <row r="566" spans="6:7" ht="12.75">
      <c r="F566" s="46"/>
      <c r="G566" s="28"/>
    </row>
    <row r="567" spans="6:7" ht="12.75">
      <c r="F567" s="46"/>
      <c r="G567" s="28"/>
    </row>
    <row r="568" spans="6:7" ht="12.75">
      <c r="F568" s="46"/>
      <c r="G568" s="28"/>
    </row>
    <row r="569" spans="6:7" ht="12.75">
      <c r="F569" s="46"/>
      <c r="G569" s="28"/>
    </row>
    <row r="570" spans="6:7" ht="12.75">
      <c r="F570" s="46"/>
      <c r="G570" s="28"/>
    </row>
    <row r="571" spans="6:7" ht="12.75">
      <c r="F571" s="46"/>
      <c r="G571" s="28"/>
    </row>
    <row r="572" spans="6:7" ht="12.75">
      <c r="F572" s="46"/>
      <c r="G572" s="28"/>
    </row>
    <row r="573" spans="6:7" ht="12.75">
      <c r="F573" s="46"/>
      <c r="G573" s="28"/>
    </row>
    <row r="574" spans="6:7" ht="12.75">
      <c r="F574" s="46"/>
      <c r="G574" s="28"/>
    </row>
    <row r="575" spans="6:7" ht="12.75">
      <c r="F575" s="46"/>
      <c r="G575" s="28"/>
    </row>
    <row r="576" spans="6:7" ht="12.75">
      <c r="F576" s="46"/>
      <c r="G576" s="28"/>
    </row>
    <row r="577" spans="6:7" ht="12.75">
      <c r="F577" s="46"/>
      <c r="G577" s="28"/>
    </row>
    <row r="578" spans="6:7" ht="12.75">
      <c r="F578" s="46"/>
      <c r="G578" s="28"/>
    </row>
    <row r="579" spans="6:7" ht="12.75">
      <c r="F579" s="46"/>
      <c r="G579" s="28"/>
    </row>
    <row r="580" spans="6:7" ht="12.75">
      <c r="F580" s="46"/>
      <c r="G580" s="28"/>
    </row>
    <row r="581" spans="6:7" ht="12.75">
      <c r="F581" s="46"/>
      <c r="G581" s="28"/>
    </row>
    <row r="582" spans="6:7" ht="12.75">
      <c r="F582" s="46"/>
      <c r="G582" s="28"/>
    </row>
    <row r="583" spans="6:7" ht="12.75">
      <c r="F583" s="46"/>
      <c r="G583" s="28"/>
    </row>
    <row r="584" spans="6:7" ht="12.75">
      <c r="F584" s="46"/>
      <c r="G584" s="28"/>
    </row>
    <row r="585" spans="6:7" ht="12.75">
      <c r="F585" s="46"/>
      <c r="G585" s="28"/>
    </row>
    <row r="586" spans="6:7" ht="12.75">
      <c r="F586" s="46"/>
      <c r="G586" s="28"/>
    </row>
    <row r="587" spans="6:7" ht="12.75">
      <c r="F587" s="46"/>
      <c r="G587" s="28"/>
    </row>
    <row r="588" spans="6:7" ht="12.75">
      <c r="F588" s="46"/>
      <c r="G588" s="28"/>
    </row>
    <row r="589" spans="6:7" ht="12.75">
      <c r="F589" s="46"/>
      <c r="G589" s="28"/>
    </row>
    <row r="590" spans="6:7" ht="12.75">
      <c r="F590" s="46"/>
      <c r="G590" s="28"/>
    </row>
    <row r="591" spans="6:7" ht="12.75">
      <c r="F591" s="46"/>
      <c r="G591" s="28"/>
    </row>
    <row r="592" spans="6:7" ht="12.75">
      <c r="F592" s="46"/>
      <c r="G592" s="28"/>
    </row>
    <row r="593" spans="6:7" ht="12.75">
      <c r="F593" s="46"/>
      <c r="G593" s="28"/>
    </row>
    <row r="594" spans="6:7" ht="12.75">
      <c r="F594" s="46"/>
      <c r="G594" s="28"/>
    </row>
    <row r="595" spans="6:7" ht="12.75">
      <c r="F595" s="46"/>
      <c r="G595" s="28"/>
    </row>
    <row r="596" spans="6:7" ht="12.75">
      <c r="F596" s="46"/>
      <c r="G596" s="28"/>
    </row>
    <row r="597" spans="6:7" ht="12.75">
      <c r="F597" s="46"/>
      <c r="G597" s="28"/>
    </row>
    <row r="598" spans="6:7" ht="12.75">
      <c r="F598" s="46"/>
      <c r="G598" s="28"/>
    </row>
    <row r="599" spans="6:7" ht="12.75">
      <c r="F599" s="46"/>
      <c r="G599" s="28"/>
    </row>
    <row r="600" spans="6:7" ht="12.75">
      <c r="F600" s="46"/>
      <c r="G600" s="28"/>
    </row>
    <row r="601" spans="6:7" ht="12.75">
      <c r="F601" s="46"/>
      <c r="G601" s="28"/>
    </row>
    <row r="602" spans="6:7" ht="12.75">
      <c r="F602" s="46"/>
      <c r="G602" s="28"/>
    </row>
    <row r="603" spans="6:7" ht="12.75">
      <c r="F603" s="46"/>
      <c r="G603" s="28"/>
    </row>
    <row r="604" spans="6:7" ht="12.75">
      <c r="F604" s="46"/>
      <c r="G604" s="28"/>
    </row>
    <row r="605" spans="6:7" ht="12.75">
      <c r="F605" s="46"/>
      <c r="G605" s="28"/>
    </row>
    <row r="606" spans="6:7" ht="12.75">
      <c r="F606" s="46"/>
      <c r="G606" s="28"/>
    </row>
    <row r="607" spans="6:7" ht="12.75">
      <c r="F607" s="46"/>
      <c r="G607" s="28"/>
    </row>
    <row r="608" spans="6:7" ht="12.75">
      <c r="F608" s="46"/>
      <c r="G608" s="28"/>
    </row>
    <row r="609" spans="6:7" ht="12.75">
      <c r="F609" s="46"/>
      <c r="G609" s="28"/>
    </row>
    <row r="610" spans="6:7" ht="12.75">
      <c r="F610" s="46"/>
      <c r="G610" s="28"/>
    </row>
    <row r="611" spans="6:7" ht="12.75">
      <c r="F611" s="46"/>
      <c r="G611" s="28"/>
    </row>
    <row r="612" spans="6:7" ht="12.75">
      <c r="F612" s="46"/>
      <c r="G612" s="28"/>
    </row>
    <row r="613" spans="6:7" ht="12.75">
      <c r="F613" s="46"/>
      <c r="G613" s="28"/>
    </row>
    <row r="614" spans="6:7" ht="12.75">
      <c r="F614" s="46"/>
      <c r="G614" s="28"/>
    </row>
    <row r="615" spans="6:7" ht="12.75">
      <c r="F615" s="46"/>
      <c r="G615" s="28"/>
    </row>
    <row r="616" spans="6:7" ht="12.75">
      <c r="F616" s="46"/>
      <c r="G616" s="28"/>
    </row>
    <row r="617" spans="6:7" ht="12.75">
      <c r="F617" s="46"/>
      <c r="G617" s="28"/>
    </row>
    <row r="618" spans="6:7" ht="12.75">
      <c r="F618" s="46"/>
      <c r="G618" s="28"/>
    </row>
    <row r="619" spans="6:7" ht="12.75">
      <c r="F619" s="46"/>
      <c r="G619" s="28"/>
    </row>
    <row r="620" spans="6:7" ht="12.75">
      <c r="F620" s="46"/>
      <c r="G620" s="28"/>
    </row>
    <row r="621" spans="6:7" ht="12.75">
      <c r="F621" s="46"/>
      <c r="G621" s="28"/>
    </row>
    <row r="622" spans="6:7" ht="12.75">
      <c r="F622" s="46"/>
      <c r="G622" s="28"/>
    </row>
    <row r="623" spans="6:7" ht="12.75">
      <c r="F623" s="46"/>
      <c r="G623" s="28"/>
    </row>
    <row r="624" spans="6:7" ht="12.75">
      <c r="F624" s="46"/>
      <c r="G624" s="28"/>
    </row>
    <row r="625" spans="6:7" ht="12.75">
      <c r="F625" s="46"/>
      <c r="G625" s="28"/>
    </row>
    <row r="626" spans="6:7" ht="12.75">
      <c r="F626" s="46"/>
      <c r="G626" s="28"/>
    </row>
    <row r="627" spans="6:7" ht="12.75">
      <c r="F627" s="46"/>
      <c r="G627" s="28"/>
    </row>
  </sheetData>
  <mergeCells count="8">
    <mergeCell ref="A145:D145"/>
    <mergeCell ref="A6:G6"/>
    <mergeCell ref="A7:G7"/>
    <mergeCell ref="C125:C126"/>
    <mergeCell ref="D125:D126"/>
    <mergeCell ref="E125:E126"/>
    <mergeCell ref="F125:F126"/>
    <mergeCell ref="G125:G126"/>
  </mergeCells>
  <printOptions/>
  <pageMargins left="0.75" right="0.45" top="0.27" bottom="0.37" header="0.25" footer="0.19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L2" sqref="L2"/>
    </sheetView>
  </sheetViews>
  <sheetFormatPr defaultColWidth="9.00390625" defaultRowHeight="12.75"/>
  <cols>
    <col min="1" max="1" width="5.125" style="1" customWidth="1"/>
    <col min="2" max="2" width="6.875" style="1" customWidth="1"/>
    <col min="3" max="3" width="7.125" style="1" customWidth="1"/>
    <col min="4" max="4" width="2.375" style="1" customWidth="1"/>
    <col min="5" max="5" width="27.25390625" style="1" customWidth="1"/>
    <col min="6" max="6" width="12.625" style="54" customWidth="1"/>
    <col min="7" max="7" width="11.75390625" style="1" customWidth="1"/>
    <col min="8" max="8" width="12.25390625" style="1" customWidth="1"/>
    <col min="9" max="9" width="11.625" style="1" customWidth="1"/>
    <col min="10" max="10" width="10.25390625" style="1" customWidth="1"/>
    <col min="11" max="11" width="11.875" style="1" customWidth="1"/>
    <col min="12" max="12" width="10.375" style="1" customWidth="1"/>
    <col min="13" max="16384" width="9.125" style="1" customWidth="1"/>
  </cols>
  <sheetData>
    <row r="1" spans="5:12" ht="16.5" customHeight="1">
      <c r="E1" s="94"/>
      <c r="F1" s="94"/>
      <c r="L1" s="415" t="s">
        <v>12</v>
      </c>
    </row>
    <row r="2" spans="5:12" ht="13.5" customHeight="1">
      <c r="E2" s="95"/>
      <c r="F2" s="95"/>
      <c r="L2" s="44" t="s">
        <v>506</v>
      </c>
    </row>
    <row r="3" spans="5:12" ht="15.75" customHeight="1">
      <c r="E3" s="95"/>
      <c r="F3" s="95"/>
      <c r="L3" s="44" t="s">
        <v>504</v>
      </c>
    </row>
    <row r="4" ht="3" customHeight="1"/>
    <row r="5" spans="1:12" s="96" customFormat="1" ht="16.5">
      <c r="A5" s="690" t="s">
        <v>307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2" s="96" customFormat="1" ht="15" customHeight="1">
      <c r="A6" s="690" t="s">
        <v>326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</row>
    <row r="7" ht="5.25" customHeight="1"/>
    <row r="8" spans="1:12" s="92" customFormat="1" ht="11.25" customHeight="1">
      <c r="A8" s="702" t="s">
        <v>232</v>
      </c>
      <c r="B8" s="702"/>
      <c r="C8" s="702"/>
      <c r="D8" s="696" t="s">
        <v>36</v>
      </c>
      <c r="E8" s="697"/>
      <c r="F8" s="675" t="s">
        <v>304</v>
      </c>
      <c r="G8" s="675" t="s">
        <v>21</v>
      </c>
      <c r="H8" s="595" t="s">
        <v>268</v>
      </c>
      <c r="I8" s="595"/>
      <c r="J8" s="595"/>
      <c r="K8" s="595"/>
      <c r="L8" s="595"/>
    </row>
    <row r="9" spans="1:12" s="92" customFormat="1" ht="11.25" customHeight="1">
      <c r="A9" s="694" t="s">
        <v>105</v>
      </c>
      <c r="B9" s="694" t="s">
        <v>106</v>
      </c>
      <c r="C9" s="694" t="s">
        <v>186</v>
      </c>
      <c r="D9" s="698"/>
      <c r="E9" s="699"/>
      <c r="F9" s="676"/>
      <c r="G9" s="676"/>
      <c r="H9" s="595" t="s">
        <v>35</v>
      </c>
      <c r="I9" s="595" t="s">
        <v>272</v>
      </c>
      <c r="J9" s="595"/>
      <c r="K9" s="595"/>
      <c r="L9" s="595" t="s">
        <v>95</v>
      </c>
    </row>
    <row r="10" spans="1:12" s="92" customFormat="1" ht="24.75" customHeight="1">
      <c r="A10" s="695"/>
      <c r="B10" s="695"/>
      <c r="C10" s="695"/>
      <c r="D10" s="700"/>
      <c r="E10" s="701"/>
      <c r="F10" s="677"/>
      <c r="G10" s="677"/>
      <c r="H10" s="595"/>
      <c r="I10" s="90" t="s">
        <v>306</v>
      </c>
      <c r="J10" s="90" t="s">
        <v>305</v>
      </c>
      <c r="K10" s="90" t="s">
        <v>20</v>
      </c>
      <c r="L10" s="595"/>
    </row>
    <row r="11" spans="1:12" s="92" customFormat="1" ht="14.25" customHeight="1">
      <c r="A11" s="91">
        <v>1</v>
      </c>
      <c r="B11" s="91">
        <v>2</v>
      </c>
      <c r="C11" s="91">
        <v>3</v>
      </c>
      <c r="D11" s="702">
        <v>4</v>
      </c>
      <c r="E11" s="703"/>
      <c r="F11" s="93">
        <v>5</v>
      </c>
      <c r="G11" s="93">
        <v>6</v>
      </c>
      <c r="H11" s="93">
        <v>7</v>
      </c>
      <c r="I11" s="93">
        <v>8</v>
      </c>
      <c r="J11" s="93">
        <v>9</v>
      </c>
      <c r="K11" s="93">
        <v>10</v>
      </c>
      <c r="L11" s="93">
        <v>11</v>
      </c>
    </row>
    <row r="12" spans="1:12" s="51" customFormat="1" ht="21" customHeight="1">
      <c r="A12" s="682">
        <v>600</v>
      </c>
      <c r="B12" s="682">
        <v>60014</v>
      </c>
      <c r="C12" s="691">
        <v>2310</v>
      </c>
      <c r="D12" s="687" t="s">
        <v>22</v>
      </c>
      <c r="E12" s="680"/>
      <c r="F12" s="522" t="s">
        <v>171</v>
      </c>
      <c r="G12" s="525">
        <f>SUM(H12,L12)</f>
        <v>169800</v>
      </c>
      <c r="H12" s="97">
        <v>169800</v>
      </c>
      <c r="I12" s="98">
        <v>0</v>
      </c>
      <c r="J12" s="99">
        <v>0</v>
      </c>
      <c r="K12" s="99">
        <v>169800</v>
      </c>
      <c r="L12" s="99">
        <v>0</v>
      </c>
    </row>
    <row r="13" spans="1:12" s="51" customFormat="1" ht="12.75" customHeight="1">
      <c r="A13" s="686"/>
      <c r="B13" s="686"/>
      <c r="C13" s="692"/>
      <c r="D13" s="704" t="s">
        <v>25</v>
      </c>
      <c r="E13" s="705"/>
      <c r="F13" s="100"/>
      <c r="G13" s="528"/>
      <c r="H13" s="204"/>
      <c r="I13" s="205"/>
      <c r="J13" s="206"/>
      <c r="K13" s="206"/>
      <c r="L13" s="206"/>
    </row>
    <row r="14" spans="1:12" s="51" customFormat="1" ht="12.75" customHeight="1">
      <c r="A14" s="686"/>
      <c r="B14" s="686"/>
      <c r="C14" s="692"/>
      <c r="D14" s="704" t="s">
        <v>327</v>
      </c>
      <c r="E14" s="705"/>
      <c r="F14" s="100"/>
      <c r="G14" s="528"/>
      <c r="H14" s="204"/>
      <c r="I14" s="205"/>
      <c r="J14" s="206"/>
      <c r="K14" s="206"/>
      <c r="L14" s="206"/>
    </row>
    <row r="15" spans="1:12" s="51" customFormat="1" ht="12.75" customHeight="1">
      <c r="A15" s="686"/>
      <c r="B15" s="686"/>
      <c r="C15" s="692"/>
      <c r="D15" s="704" t="s">
        <v>24</v>
      </c>
      <c r="E15" s="705"/>
      <c r="F15" s="100"/>
      <c r="G15" s="528"/>
      <c r="H15" s="204"/>
      <c r="I15" s="205"/>
      <c r="J15" s="206"/>
      <c r="K15" s="206"/>
      <c r="L15" s="206"/>
    </row>
    <row r="16" spans="1:12" s="51" customFormat="1" ht="12.75" customHeight="1">
      <c r="A16" s="686"/>
      <c r="B16" s="686"/>
      <c r="C16" s="692"/>
      <c r="D16" s="704" t="s">
        <v>23</v>
      </c>
      <c r="E16" s="705"/>
      <c r="F16" s="100"/>
      <c r="G16" s="528"/>
      <c r="H16" s="204"/>
      <c r="I16" s="205"/>
      <c r="J16" s="206"/>
      <c r="K16" s="206"/>
      <c r="L16" s="206"/>
    </row>
    <row r="17" spans="1:12" s="51" customFormat="1" ht="33" customHeight="1">
      <c r="A17" s="683"/>
      <c r="B17" s="683"/>
      <c r="C17" s="693"/>
      <c r="D17" s="704" t="s">
        <v>28</v>
      </c>
      <c r="E17" s="705"/>
      <c r="F17" s="104"/>
      <c r="G17" s="526"/>
      <c r="H17" s="207"/>
      <c r="I17" s="208"/>
      <c r="J17" s="209"/>
      <c r="K17" s="209"/>
      <c r="L17" s="209"/>
    </row>
    <row r="18" spans="1:12" s="85" customFormat="1" ht="21" customHeight="1" hidden="1">
      <c r="A18" s="682">
        <v>600</v>
      </c>
      <c r="B18" s="682">
        <v>60014</v>
      </c>
      <c r="C18" s="161">
        <v>6610</v>
      </c>
      <c r="D18" s="680" t="s">
        <v>334</v>
      </c>
      <c r="E18" s="681"/>
      <c r="F18" s="523"/>
      <c r="G18" s="530">
        <v>0</v>
      </c>
      <c r="H18" s="208">
        <v>0</v>
      </c>
      <c r="I18" s="208">
        <v>0</v>
      </c>
      <c r="J18" s="208">
        <v>0</v>
      </c>
      <c r="K18" s="208">
        <v>0</v>
      </c>
      <c r="L18" s="208">
        <v>0</v>
      </c>
    </row>
    <row r="19" spans="1:12" s="85" customFormat="1" ht="38.25" customHeight="1" hidden="1">
      <c r="A19" s="683"/>
      <c r="B19" s="683"/>
      <c r="C19" s="161">
        <v>6619</v>
      </c>
      <c r="D19" s="680" t="s">
        <v>477</v>
      </c>
      <c r="E19" s="681"/>
      <c r="F19" s="523"/>
      <c r="G19" s="530">
        <v>0</v>
      </c>
      <c r="H19" s="208"/>
      <c r="I19" s="208"/>
      <c r="J19" s="208"/>
      <c r="K19" s="208"/>
      <c r="L19" s="208"/>
    </row>
    <row r="20" spans="1:12" s="85" customFormat="1" ht="30" customHeight="1">
      <c r="A20" s="160">
        <v>630</v>
      </c>
      <c r="B20" s="160">
        <v>63003</v>
      </c>
      <c r="C20" s="493">
        <v>6639</v>
      </c>
      <c r="D20" s="684" t="s">
        <v>489</v>
      </c>
      <c r="E20" s="706"/>
      <c r="F20" s="524" t="s">
        <v>171</v>
      </c>
      <c r="G20" s="530">
        <v>300</v>
      </c>
      <c r="H20" s="208">
        <v>0</v>
      </c>
      <c r="I20" s="208">
        <v>0</v>
      </c>
      <c r="J20" s="208">
        <v>0</v>
      </c>
      <c r="K20" s="208">
        <v>0</v>
      </c>
      <c r="L20" s="208">
        <v>300</v>
      </c>
    </row>
    <row r="21" spans="1:12" s="52" customFormat="1" ht="39" customHeight="1">
      <c r="A21" s="174">
        <v>750</v>
      </c>
      <c r="B21" s="174">
        <v>75018</v>
      </c>
      <c r="C21" s="174">
        <v>2330</v>
      </c>
      <c r="D21" s="687" t="s">
        <v>233</v>
      </c>
      <c r="E21" s="687"/>
      <c r="F21" s="115" t="s">
        <v>171</v>
      </c>
      <c r="G21" s="212">
        <v>6000</v>
      </c>
      <c r="H21" s="213">
        <v>6000</v>
      </c>
      <c r="I21" s="213">
        <v>0</v>
      </c>
      <c r="J21" s="213">
        <v>0</v>
      </c>
      <c r="K21" s="213">
        <v>6000</v>
      </c>
      <c r="L21" s="213">
        <v>0</v>
      </c>
    </row>
    <row r="22" spans="1:12" s="52" customFormat="1" ht="56.25" customHeight="1">
      <c r="A22" s="174">
        <v>750</v>
      </c>
      <c r="B22" s="174">
        <v>75020</v>
      </c>
      <c r="C22" s="174">
        <v>2310</v>
      </c>
      <c r="D22" s="687" t="s">
        <v>16</v>
      </c>
      <c r="E22" s="687"/>
      <c r="F22" s="212">
        <v>5302</v>
      </c>
      <c r="G22" s="212"/>
      <c r="H22" s="213"/>
      <c r="I22" s="213"/>
      <c r="J22" s="213"/>
      <c r="K22" s="213"/>
      <c r="L22" s="213"/>
    </row>
    <row r="23" spans="1:12" s="86" customFormat="1" ht="37.5" customHeight="1">
      <c r="A23" s="174">
        <v>801</v>
      </c>
      <c r="B23" s="174">
        <v>80120</v>
      </c>
      <c r="C23" s="174">
        <v>2310</v>
      </c>
      <c r="D23" s="687" t="s">
        <v>234</v>
      </c>
      <c r="E23" s="687"/>
      <c r="F23" s="115" t="s">
        <v>171</v>
      </c>
      <c r="G23" s="212">
        <v>14400</v>
      </c>
      <c r="H23" s="213">
        <v>14400</v>
      </c>
      <c r="I23" s="213">
        <v>0</v>
      </c>
      <c r="J23" s="213">
        <v>0</v>
      </c>
      <c r="K23" s="213">
        <v>14400</v>
      </c>
      <c r="L23" s="213">
        <v>0</v>
      </c>
    </row>
    <row r="24" spans="1:12" s="85" customFormat="1" ht="47.25" customHeight="1">
      <c r="A24" s="174">
        <v>801</v>
      </c>
      <c r="B24" s="174">
        <v>80130</v>
      </c>
      <c r="C24" s="174">
        <v>2310</v>
      </c>
      <c r="D24" s="687" t="s">
        <v>259</v>
      </c>
      <c r="E24" s="688"/>
      <c r="F24" s="212">
        <v>28250</v>
      </c>
      <c r="G24" s="211" t="s">
        <v>171</v>
      </c>
      <c r="H24" s="116" t="s">
        <v>171</v>
      </c>
      <c r="I24" s="116" t="s">
        <v>171</v>
      </c>
      <c r="J24" s="116" t="s">
        <v>171</v>
      </c>
      <c r="K24" s="116" t="s">
        <v>171</v>
      </c>
      <c r="L24" s="116" t="s">
        <v>171</v>
      </c>
    </row>
    <row r="25" spans="1:12" s="85" customFormat="1" ht="20.25" customHeight="1">
      <c r="A25" s="174">
        <v>801</v>
      </c>
      <c r="B25" s="174">
        <v>80130</v>
      </c>
      <c r="C25" s="174">
        <v>2310</v>
      </c>
      <c r="D25" s="687" t="s">
        <v>29</v>
      </c>
      <c r="E25" s="687"/>
      <c r="F25" s="211"/>
      <c r="G25" s="212">
        <f>2800+400</f>
        <v>3200</v>
      </c>
      <c r="H25" s="213">
        <v>3200</v>
      </c>
      <c r="I25" s="213">
        <v>0</v>
      </c>
      <c r="J25" s="213">
        <v>0</v>
      </c>
      <c r="K25" s="213">
        <v>3200</v>
      </c>
      <c r="L25" s="213">
        <v>0</v>
      </c>
    </row>
    <row r="26" spans="1:12" ht="27" customHeight="1">
      <c r="A26" s="159">
        <v>852</v>
      </c>
      <c r="B26" s="159">
        <v>85201</v>
      </c>
      <c r="C26" s="159">
        <v>2310</v>
      </c>
      <c r="D26" s="687" t="s">
        <v>26</v>
      </c>
      <c r="E26" s="689"/>
      <c r="F26" s="525">
        <v>30164</v>
      </c>
      <c r="G26" s="525" t="s">
        <v>171</v>
      </c>
      <c r="H26" s="97" t="s">
        <v>171</v>
      </c>
      <c r="I26" s="98" t="s">
        <v>171</v>
      </c>
      <c r="J26" s="99" t="s">
        <v>171</v>
      </c>
      <c r="K26" s="99" t="s">
        <v>171</v>
      </c>
      <c r="L26" s="99" t="s">
        <v>171</v>
      </c>
    </row>
    <row r="27" spans="1:12" ht="11.25" customHeight="1">
      <c r="A27" s="160"/>
      <c r="B27" s="160"/>
      <c r="C27" s="160"/>
      <c r="D27" s="495">
        <v>1</v>
      </c>
      <c r="E27" s="494" t="s">
        <v>332</v>
      </c>
      <c r="F27" s="526"/>
      <c r="G27" s="526"/>
      <c r="H27" s="207"/>
      <c r="I27" s="208"/>
      <c r="J27" s="209"/>
      <c r="K27" s="209"/>
      <c r="L27" s="209"/>
    </row>
    <row r="28" spans="1:12" ht="18.75" customHeight="1">
      <c r="A28" s="682">
        <v>852</v>
      </c>
      <c r="B28" s="682">
        <v>85201</v>
      </c>
      <c r="C28" s="682">
        <v>2310</v>
      </c>
      <c r="D28" s="684" t="s">
        <v>333</v>
      </c>
      <c r="E28" s="685"/>
      <c r="F28" s="525" t="s">
        <v>171</v>
      </c>
      <c r="G28" s="525">
        <v>9293</v>
      </c>
      <c r="H28" s="97">
        <v>9293</v>
      </c>
      <c r="I28" s="98" t="s">
        <v>171</v>
      </c>
      <c r="J28" s="99" t="s">
        <v>171</v>
      </c>
      <c r="K28" s="99">
        <v>9293</v>
      </c>
      <c r="L28" s="99" t="s">
        <v>171</v>
      </c>
    </row>
    <row r="29" spans="1:12" ht="10.5" customHeight="1">
      <c r="A29" s="683"/>
      <c r="B29" s="683"/>
      <c r="C29" s="683"/>
      <c r="D29" s="496">
        <v>1</v>
      </c>
      <c r="E29" s="497" t="s">
        <v>336</v>
      </c>
      <c r="F29" s="526"/>
      <c r="G29" s="526"/>
      <c r="H29" s="207"/>
      <c r="I29" s="208"/>
      <c r="J29" s="209"/>
      <c r="K29" s="209"/>
      <c r="L29" s="209"/>
    </row>
    <row r="30" spans="1:12" ht="20.25" customHeight="1">
      <c r="A30" s="682">
        <v>852</v>
      </c>
      <c r="B30" s="682">
        <v>85201</v>
      </c>
      <c r="C30" s="682">
        <v>2310</v>
      </c>
      <c r="D30" s="684" t="s">
        <v>337</v>
      </c>
      <c r="E30" s="685"/>
      <c r="F30" s="525" t="s">
        <v>171</v>
      </c>
      <c r="G30" s="525">
        <v>11026</v>
      </c>
      <c r="H30" s="97">
        <v>11026</v>
      </c>
      <c r="I30" s="98" t="s">
        <v>171</v>
      </c>
      <c r="J30" s="99" t="s">
        <v>171</v>
      </c>
      <c r="K30" s="99">
        <v>11026</v>
      </c>
      <c r="L30" s="99" t="s">
        <v>171</v>
      </c>
    </row>
    <row r="31" spans="1:12" ht="9.75" customHeight="1">
      <c r="A31" s="683"/>
      <c r="B31" s="683"/>
      <c r="C31" s="683"/>
      <c r="D31" s="496">
        <v>1</v>
      </c>
      <c r="E31" s="497" t="s">
        <v>355</v>
      </c>
      <c r="F31" s="526"/>
      <c r="G31" s="526"/>
      <c r="H31" s="105"/>
      <c r="I31" s="106"/>
      <c r="J31" s="107"/>
      <c r="K31" s="107"/>
      <c r="L31" s="107"/>
    </row>
    <row r="32" spans="1:12" ht="37.5" customHeight="1">
      <c r="A32" s="174">
        <v>852</v>
      </c>
      <c r="B32" s="174">
        <v>85201</v>
      </c>
      <c r="C32" s="174">
        <v>2320</v>
      </c>
      <c r="D32" s="687" t="s">
        <v>30</v>
      </c>
      <c r="E32" s="688"/>
      <c r="F32" s="210"/>
      <c r="G32" s="530">
        <v>941486</v>
      </c>
      <c r="H32" s="208">
        <f>SUM(I32:K32)</f>
        <v>941486</v>
      </c>
      <c r="I32" s="208">
        <v>0</v>
      </c>
      <c r="J32" s="208">
        <v>0</v>
      </c>
      <c r="K32" s="208">
        <v>941486</v>
      </c>
      <c r="L32" s="208">
        <v>0</v>
      </c>
    </row>
    <row r="33" spans="1:12" ht="29.25" customHeight="1">
      <c r="A33" s="174">
        <v>852</v>
      </c>
      <c r="B33" s="174">
        <v>85204</v>
      </c>
      <c r="C33" s="174">
        <v>2310</v>
      </c>
      <c r="D33" s="687" t="s">
        <v>260</v>
      </c>
      <c r="E33" s="688"/>
      <c r="F33" s="211" t="s">
        <v>171</v>
      </c>
      <c r="G33" s="212">
        <v>11047</v>
      </c>
      <c r="H33" s="213">
        <v>11047</v>
      </c>
      <c r="I33" s="213">
        <v>0</v>
      </c>
      <c r="J33" s="213">
        <v>0</v>
      </c>
      <c r="K33" s="213">
        <v>11047</v>
      </c>
      <c r="L33" s="213">
        <v>0</v>
      </c>
    </row>
    <row r="34" spans="1:12" ht="21" customHeight="1">
      <c r="A34" s="682">
        <v>852</v>
      </c>
      <c r="B34" s="682">
        <v>85204</v>
      </c>
      <c r="C34" s="682">
        <v>2320</v>
      </c>
      <c r="D34" s="684" t="s">
        <v>472</v>
      </c>
      <c r="E34" s="685"/>
      <c r="F34" s="527" t="s">
        <v>171</v>
      </c>
      <c r="G34" s="525">
        <v>108524</v>
      </c>
      <c r="H34" s="97">
        <v>108524</v>
      </c>
      <c r="I34" s="98">
        <v>0</v>
      </c>
      <c r="J34" s="99">
        <v>0</v>
      </c>
      <c r="K34" s="99">
        <v>108524</v>
      </c>
      <c r="L34" s="99">
        <v>0</v>
      </c>
    </row>
    <row r="35" spans="1:12" ht="12.75">
      <c r="A35" s="686"/>
      <c r="B35" s="686"/>
      <c r="C35" s="686"/>
      <c r="D35" s="498">
        <v>1</v>
      </c>
      <c r="E35" s="499" t="s">
        <v>5</v>
      </c>
      <c r="F35" s="528"/>
      <c r="G35" s="529"/>
      <c r="H35" s="101"/>
      <c r="I35" s="102"/>
      <c r="J35" s="103"/>
      <c r="K35" s="103"/>
      <c r="L35" s="103"/>
    </row>
    <row r="36" spans="1:12" ht="12.75">
      <c r="A36" s="686"/>
      <c r="B36" s="686"/>
      <c r="C36" s="686"/>
      <c r="D36" s="498">
        <v>2</v>
      </c>
      <c r="E36" s="499" t="s">
        <v>6</v>
      </c>
      <c r="F36" s="528"/>
      <c r="G36" s="529"/>
      <c r="H36" s="101"/>
      <c r="I36" s="102"/>
      <c r="J36" s="103"/>
      <c r="K36" s="103"/>
      <c r="L36" s="103"/>
    </row>
    <row r="37" spans="1:12" ht="13.5" customHeight="1">
      <c r="A37" s="686"/>
      <c r="B37" s="686"/>
      <c r="C37" s="686"/>
      <c r="D37" s="498">
        <v>3</v>
      </c>
      <c r="E37" s="499" t="s">
        <v>473</v>
      </c>
      <c r="F37" s="528"/>
      <c r="G37" s="529"/>
      <c r="H37" s="101"/>
      <c r="I37" s="102"/>
      <c r="J37" s="103"/>
      <c r="K37" s="103"/>
      <c r="L37" s="103"/>
    </row>
    <row r="38" spans="1:12" ht="11.25" customHeight="1">
      <c r="A38" s="686"/>
      <c r="B38" s="686"/>
      <c r="C38" s="686"/>
      <c r="D38" s="498">
        <v>4</v>
      </c>
      <c r="E38" s="499" t="s">
        <v>338</v>
      </c>
      <c r="F38" s="528"/>
      <c r="G38" s="529"/>
      <c r="H38" s="101"/>
      <c r="I38" s="102"/>
      <c r="J38" s="103"/>
      <c r="K38" s="103"/>
      <c r="L38" s="103"/>
    </row>
    <row r="39" spans="1:12" ht="10.5" customHeight="1">
      <c r="A39" s="683"/>
      <c r="B39" s="683"/>
      <c r="C39" s="683"/>
      <c r="D39" s="498">
        <v>5</v>
      </c>
      <c r="E39" s="499" t="s">
        <v>474</v>
      </c>
      <c r="F39" s="526"/>
      <c r="G39" s="531"/>
      <c r="H39" s="105"/>
      <c r="I39" s="106"/>
      <c r="J39" s="107"/>
      <c r="K39" s="107"/>
      <c r="L39" s="107"/>
    </row>
    <row r="40" spans="1:12" ht="21" customHeight="1">
      <c r="A40" s="159">
        <v>852</v>
      </c>
      <c r="B40" s="159">
        <v>85204</v>
      </c>
      <c r="C40" s="159">
        <v>2310</v>
      </c>
      <c r="D40" s="687" t="s">
        <v>27</v>
      </c>
      <c r="E40" s="680"/>
      <c r="F40" s="525">
        <v>3734</v>
      </c>
      <c r="G40" s="525" t="s">
        <v>171</v>
      </c>
      <c r="H40" s="113" t="s">
        <v>171</v>
      </c>
      <c r="I40" s="117" t="s">
        <v>171</v>
      </c>
      <c r="J40" s="118" t="s">
        <v>171</v>
      </c>
      <c r="K40" s="118" t="s">
        <v>171</v>
      </c>
      <c r="L40" s="118" t="s">
        <v>171</v>
      </c>
    </row>
    <row r="41" spans="1:12" ht="12.75">
      <c r="A41" s="160"/>
      <c r="B41" s="160"/>
      <c r="C41" s="160"/>
      <c r="D41" s="500">
        <v>1</v>
      </c>
      <c r="E41" s="494" t="s">
        <v>4</v>
      </c>
      <c r="F41" s="526"/>
      <c r="G41" s="526"/>
      <c r="H41" s="105"/>
      <c r="I41" s="106"/>
      <c r="J41" s="107"/>
      <c r="K41" s="107"/>
      <c r="L41" s="107"/>
    </row>
    <row r="42" spans="1:12" ht="21" customHeight="1">
      <c r="A42" s="682">
        <v>852</v>
      </c>
      <c r="B42" s="682">
        <v>85204</v>
      </c>
      <c r="C42" s="682">
        <v>2320</v>
      </c>
      <c r="D42" s="687" t="s">
        <v>27</v>
      </c>
      <c r="E42" s="680"/>
      <c r="F42" s="525">
        <v>129590</v>
      </c>
      <c r="G42" s="525" t="s">
        <v>171</v>
      </c>
      <c r="H42" s="113" t="s">
        <v>171</v>
      </c>
      <c r="I42" s="117" t="s">
        <v>171</v>
      </c>
      <c r="J42" s="118" t="s">
        <v>171</v>
      </c>
      <c r="K42" s="118" t="s">
        <v>171</v>
      </c>
      <c r="L42" s="118" t="s">
        <v>171</v>
      </c>
    </row>
    <row r="43" spans="1:12" ht="12.75">
      <c r="A43" s="686"/>
      <c r="B43" s="686"/>
      <c r="C43" s="686"/>
      <c r="D43" s="500">
        <v>1</v>
      </c>
      <c r="E43" s="494" t="s">
        <v>7</v>
      </c>
      <c r="F43" s="528"/>
      <c r="G43" s="528"/>
      <c r="H43" s="101"/>
      <c r="I43" s="102"/>
      <c r="J43" s="103"/>
      <c r="K43" s="103"/>
      <c r="L43" s="103"/>
    </row>
    <row r="44" spans="1:12" ht="12.75">
      <c r="A44" s="686"/>
      <c r="B44" s="686"/>
      <c r="C44" s="686"/>
      <c r="D44" s="500">
        <v>2</v>
      </c>
      <c r="E44" s="494" t="s">
        <v>496</v>
      </c>
      <c r="F44" s="528"/>
      <c r="G44" s="528"/>
      <c r="H44" s="101"/>
      <c r="I44" s="102"/>
      <c r="J44" s="103"/>
      <c r="K44" s="103"/>
      <c r="L44" s="103"/>
    </row>
    <row r="45" spans="1:12" ht="12.75">
      <c r="A45" s="686"/>
      <c r="B45" s="686"/>
      <c r="C45" s="686"/>
      <c r="D45" s="500">
        <v>3</v>
      </c>
      <c r="E45" s="494" t="s">
        <v>468</v>
      </c>
      <c r="F45" s="528"/>
      <c r="G45" s="528"/>
      <c r="H45" s="101"/>
      <c r="I45" s="102"/>
      <c r="J45" s="103"/>
      <c r="K45" s="103"/>
      <c r="L45" s="103"/>
    </row>
    <row r="46" spans="1:12" ht="12.75">
      <c r="A46" s="686"/>
      <c r="B46" s="686"/>
      <c r="C46" s="686"/>
      <c r="D46" s="500">
        <v>4</v>
      </c>
      <c r="E46" s="494" t="s">
        <v>335</v>
      </c>
      <c r="F46" s="528"/>
      <c r="G46" s="528"/>
      <c r="H46" s="101"/>
      <c r="I46" s="102"/>
      <c r="J46" s="103"/>
      <c r="K46" s="103"/>
      <c r="L46" s="103"/>
    </row>
    <row r="47" spans="1:12" ht="12.75">
      <c r="A47" s="683"/>
      <c r="B47" s="683"/>
      <c r="C47" s="683"/>
      <c r="D47" s="500">
        <v>5</v>
      </c>
      <c r="E47" s="494" t="s">
        <v>497</v>
      </c>
      <c r="F47" s="526"/>
      <c r="G47" s="526"/>
      <c r="H47" s="105"/>
      <c r="I47" s="106"/>
      <c r="J47" s="107"/>
      <c r="K47" s="107"/>
      <c r="L47" s="107"/>
    </row>
    <row r="48" spans="1:12" ht="22.5" customHeight="1">
      <c r="A48" s="160">
        <v>921</v>
      </c>
      <c r="B48" s="160">
        <v>92116</v>
      </c>
      <c r="C48" s="160">
        <v>2310</v>
      </c>
      <c r="D48" s="678" t="s">
        <v>17</v>
      </c>
      <c r="E48" s="678"/>
      <c r="F48" s="208" t="s">
        <v>171</v>
      </c>
      <c r="G48" s="530">
        <v>54000</v>
      </c>
      <c r="H48" s="208">
        <v>54000</v>
      </c>
      <c r="I48" s="208">
        <v>0</v>
      </c>
      <c r="J48" s="208">
        <v>0</v>
      </c>
      <c r="K48" s="208">
        <v>54000</v>
      </c>
      <c r="L48" s="208">
        <v>0</v>
      </c>
    </row>
    <row r="49" spans="1:12" ht="15.75">
      <c r="A49" s="679" t="s">
        <v>166</v>
      </c>
      <c r="B49" s="679"/>
      <c r="C49" s="679"/>
      <c r="D49" s="679"/>
      <c r="E49" s="679"/>
      <c r="F49" s="155">
        <f aca="true" t="shared" si="0" ref="F49:L49">SUM(F12:F48)</f>
        <v>197040</v>
      </c>
      <c r="G49" s="155">
        <f t="shared" si="0"/>
        <v>1329076</v>
      </c>
      <c r="H49" s="155">
        <f t="shared" si="0"/>
        <v>1328776</v>
      </c>
      <c r="I49" s="155">
        <f t="shared" si="0"/>
        <v>0</v>
      </c>
      <c r="J49" s="155">
        <f t="shared" si="0"/>
        <v>0</v>
      </c>
      <c r="K49" s="155">
        <f t="shared" si="0"/>
        <v>1328776</v>
      </c>
      <c r="L49" s="155">
        <f t="shared" si="0"/>
        <v>300</v>
      </c>
    </row>
  </sheetData>
  <mergeCells count="55">
    <mergeCell ref="A18:A19"/>
    <mergeCell ref="B18:B19"/>
    <mergeCell ref="D19:E19"/>
    <mergeCell ref="D23:E23"/>
    <mergeCell ref="D22:E22"/>
    <mergeCell ref="D15:E15"/>
    <mergeCell ref="D16:E16"/>
    <mergeCell ref="D17:E17"/>
    <mergeCell ref="D21:E21"/>
    <mergeCell ref="D20:E20"/>
    <mergeCell ref="D11:E11"/>
    <mergeCell ref="D12:E12"/>
    <mergeCell ref="D13:E13"/>
    <mergeCell ref="D14:E14"/>
    <mergeCell ref="L9:L10"/>
    <mergeCell ref="A9:A10"/>
    <mergeCell ref="B9:B10"/>
    <mergeCell ref="C9:C10"/>
    <mergeCell ref="D8:E10"/>
    <mergeCell ref="F8:F10"/>
    <mergeCell ref="G8:G10"/>
    <mergeCell ref="A8:C8"/>
    <mergeCell ref="H9:H10"/>
    <mergeCell ref="D26:E26"/>
    <mergeCell ref="D24:E24"/>
    <mergeCell ref="D25:E25"/>
    <mergeCell ref="A5:L5"/>
    <mergeCell ref="A6:L6"/>
    <mergeCell ref="A12:A17"/>
    <mergeCell ref="B12:B17"/>
    <mergeCell ref="C12:C17"/>
    <mergeCell ref="H8:L8"/>
    <mergeCell ref="I9:K9"/>
    <mergeCell ref="A28:A29"/>
    <mergeCell ref="B28:B29"/>
    <mergeCell ref="C28:C29"/>
    <mergeCell ref="D28:E28"/>
    <mergeCell ref="D42:E42"/>
    <mergeCell ref="D32:E32"/>
    <mergeCell ref="D33:E33"/>
    <mergeCell ref="A34:A39"/>
    <mergeCell ref="B34:B39"/>
    <mergeCell ref="C34:C39"/>
    <mergeCell ref="D34:E34"/>
    <mergeCell ref="D40:E40"/>
    <mergeCell ref="D48:E48"/>
    <mergeCell ref="A49:E49"/>
    <mergeCell ref="D18:E18"/>
    <mergeCell ref="A30:A31"/>
    <mergeCell ref="B30:B31"/>
    <mergeCell ref="C30:C31"/>
    <mergeCell ref="D30:E30"/>
    <mergeCell ref="A42:A47"/>
    <mergeCell ref="B42:B47"/>
    <mergeCell ref="C42:C47"/>
  </mergeCells>
  <printOptions/>
  <pageMargins left="0.77" right="0.61" top="0.97" bottom="0.55" header="0.21" footer="0.29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="95" zoomScaleNormal="95" workbookViewId="0" topLeftCell="A1">
      <selection activeCell="L2" sqref="L2"/>
    </sheetView>
  </sheetViews>
  <sheetFormatPr defaultColWidth="9.00390625" defaultRowHeight="12.75"/>
  <cols>
    <col min="1" max="1" width="3.375" style="19" customWidth="1"/>
    <col min="2" max="2" width="36.875" style="19" customWidth="1"/>
    <col min="3" max="3" width="12.625" style="19" customWidth="1"/>
    <col min="4" max="4" width="12.375" style="19" customWidth="1"/>
    <col min="5" max="7" width="11.00390625" style="19" customWidth="1"/>
    <col min="8" max="8" width="12.25390625" style="19" customWidth="1"/>
    <col min="9" max="9" width="9.25390625" style="19" customWidth="1"/>
    <col min="10" max="10" width="8.00390625" style="19" customWidth="1"/>
    <col min="11" max="11" width="4.25390625" style="19" customWidth="1"/>
    <col min="12" max="12" width="13.75390625" style="19" customWidth="1"/>
    <col min="13" max="16384" width="9.125" style="19" customWidth="1"/>
  </cols>
  <sheetData>
    <row r="1" spans="4:12" ht="13.5" customHeight="1">
      <c r="D1" s="78"/>
      <c r="E1" s="79"/>
      <c r="F1" s="79"/>
      <c r="G1" s="79"/>
      <c r="H1" s="80"/>
      <c r="L1" s="44" t="s">
        <v>250</v>
      </c>
    </row>
    <row r="2" spans="4:12" ht="15" customHeight="1">
      <c r="D2" s="81"/>
      <c r="E2" s="80"/>
      <c r="F2" s="80"/>
      <c r="G2" s="80"/>
      <c r="H2" s="79"/>
      <c r="L2" s="44" t="s">
        <v>506</v>
      </c>
    </row>
    <row r="3" spans="4:12" ht="13.5" customHeight="1">
      <c r="D3" s="81"/>
      <c r="E3" s="80"/>
      <c r="F3" s="80"/>
      <c r="G3" s="80"/>
      <c r="H3" s="79"/>
      <c r="I3" s="20"/>
      <c r="J3" s="21"/>
      <c r="L3" s="44" t="s">
        <v>504</v>
      </c>
    </row>
    <row r="4" spans="4:10" ht="4.5" customHeight="1">
      <c r="D4" s="81"/>
      <c r="E4" s="80"/>
      <c r="F4" s="80"/>
      <c r="G4" s="80"/>
      <c r="H4" s="79"/>
      <c r="I4" s="20"/>
      <c r="J4" s="21"/>
    </row>
    <row r="5" spans="1:12" ht="16.5" customHeight="1">
      <c r="A5" s="715" t="s">
        <v>312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</row>
    <row r="6" spans="1:12" ht="16.5" customHeight="1">
      <c r="A6" s="715" t="s">
        <v>328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</row>
    <row r="7" spans="2:12" ht="12.75" customHeight="1">
      <c r="B7" s="22"/>
      <c r="I7" s="82"/>
      <c r="J7" s="82"/>
      <c r="L7" s="82" t="s">
        <v>158</v>
      </c>
    </row>
    <row r="8" spans="1:12" s="119" customFormat="1" ht="15.75" customHeight="1">
      <c r="A8" s="675" t="s">
        <v>163</v>
      </c>
      <c r="B8" s="691" t="s">
        <v>103</v>
      </c>
      <c r="C8" s="675" t="s">
        <v>31</v>
      </c>
      <c r="D8" s="725" t="s">
        <v>81</v>
      </c>
      <c r="E8" s="726"/>
      <c r="F8" s="726"/>
      <c r="G8" s="727"/>
      <c r="H8" s="591" t="s">
        <v>109</v>
      </c>
      <c r="I8" s="591"/>
      <c r="J8" s="719" t="s">
        <v>308</v>
      </c>
      <c r="K8" s="720"/>
      <c r="L8" s="675" t="s">
        <v>356</v>
      </c>
    </row>
    <row r="9" spans="1:12" s="119" customFormat="1" ht="11.25" customHeight="1">
      <c r="A9" s="676"/>
      <c r="B9" s="692"/>
      <c r="C9" s="676"/>
      <c r="D9" s="675" t="s">
        <v>167</v>
      </c>
      <c r="E9" s="725" t="s">
        <v>268</v>
      </c>
      <c r="F9" s="726"/>
      <c r="G9" s="727"/>
      <c r="H9" s="158"/>
      <c r="I9" s="158"/>
      <c r="J9" s="721"/>
      <c r="K9" s="722"/>
      <c r="L9" s="676"/>
    </row>
    <row r="10" spans="1:12" s="143" customFormat="1" ht="11.25" customHeight="1">
      <c r="A10" s="676"/>
      <c r="B10" s="692"/>
      <c r="C10" s="676"/>
      <c r="D10" s="676"/>
      <c r="E10" s="716" t="s">
        <v>168</v>
      </c>
      <c r="F10" s="713" t="s">
        <v>268</v>
      </c>
      <c r="G10" s="714"/>
      <c r="H10" s="675" t="s">
        <v>167</v>
      </c>
      <c r="I10" s="716" t="s">
        <v>169</v>
      </c>
      <c r="J10" s="721"/>
      <c r="K10" s="722"/>
      <c r="L10" s="676"/>
    </row>
    <row r="11" spans="1:12" s="143" customFormat="1" ht="20.25" customHeight="1">
      <c r="A11" s="677"/>
      <c r="B11" s="692"/>
      <c r="C11" s="676"/>
      <c r="D11" s="676"/>
      <c r="E11" s="717"/>
      <c r="F11" s="305" t="s">
        <v>309</v>
      </c>
      <c r="G11" s="305" t="s">
        <v>310</v>
      </c>
      <c r="H11" s="677"/>
      <c r="I11" s="718"/>
      <c r="J11" s="723"/>
      <c r="K11" s="724"/>
      <c r="L11" s="677"/>
    </row>
    <row r="12" spans="1:12" s="119" customFormat="1" ht="12.75" customHeight="1">
      <c r="A12" s="302">
        <v>1</v>
      </c>
      <c r="B12" s="302">
        <v>2</v>
      </c>
      <c r="C12" s="302">
        <v>3</v>
      </c>
      <c r="D12" s="302">
        <v>4</v>
      </c>
      <c r="E12" s="302">
        <v>5</v>
      </c>
      <c r="F12" s="302">
        <v>6</v>
      </c>
      <c r="G12" s="302">
        <v>7</v>
      </c>
      <c r="H12" s="302">
        <v>8</v>
      </c>
      <c r="I12" s="302">
        <v>9</v>
      </c>
      <c r="J12" s="713">
        <v>10</v>
      </c>
      <c r="K12" s="714"/>
      <c r="L12" s="302">
        <v>11</v>
      </c>
    </row>
    <row r="13" spans="1:12" s="144" customFormat="1" ht="18.75" customHeight="1">
      <c r="A13" s="163" t="s">
        <v>170</v>
      </c>
      <c r="B13" s="303" t="s">
        <v>173</v>
      </c>
      <c r="C13" s="292">
        <f aca="true" t="shared" si="0" ref="C13:I13">SUM(C14:C16)</f>
        <v>1231068</v>
      </c>
      <c r="D13" s="292">
        <f t="shared" si="0"/>
        <v>3338800</v>
      </c>
      <c r="E13" s="292">
        <f t="shared" si="0"/>
        <v>0</v>
      </c>
      <c r="F13" s="292">
        <f t="shared" si="0"/>
        <v>0</v>
      </c>
      <c r="G13" s="292">
        <f t="shared" si="0"/>
        <v>0</v>
      </c>
      <c r="H13" s="292">
        <f t="shared" si="0"/>
        <v>3336441</v>
      </c>
      <c r="I13" s="292">
        <f t="shared" si="0"/>
        <v>2359</v>
      </c>
      <c r="J13" s="708">
        <f>C13+D13-H13</f>
        <v>1233427</v>
      </c>
      <c r="K13" s="708"/>
      <c r="L13" s="292">
        <f>SUM(L14:L16)</f>
        <v>299315</v>
      </c>
    </row>
    <row r="14" spans="1:12" s="119" customFormat="1" ht="24">
      <c r="A14" s="302" t="s">
        <v>112</v>
      </c>
      <c r="B14" s="479" t="s">
        <v>174</v>
      </c>
      <c r="C14" s="300">
        <v>1055105</v>
      </c>
      <c r="D14" s="300">
        <v>980000</v>
      </c>
      <c r="E14" s="300">
        <v>0</v>
      </c>
      <c r="F14" s="300">
        <v>0</v>
      </c>
      <c r="G14" s="300">
        <v>0</v>
      </c>
      <c r="H14" s="300">
        <f>976072+1964</f>
        <v>978036</v>
      </c>
      <c r="I14" s="300">
        <v>1964</v>
      </c>
      <c r="J14" s="709">
        <f>SUM(C14+D14-H14)</f>
        <v>1057069</v>
      </c>
      <c r="K14" s="710"/>
      <c r="L14" s="480">
        <v>424</v>
      </c>
    </row>
    <row r="15" spans="1:12" s="119" customFormat="1" ht="24">
      <c r="A15" s="302" t="s">
        <v>113</v>
      </c>
      <c r="B15" s="479" t="s">
        <v>175</v>
      </c>
      <c r="C15" s="300">
        <v>152215</v>
      </c>
      <c r="D15" s="300">
        <v>2265800</v>
      </c>
      <c r="E15" s="300">
        <v>0</v>
      </c>
      <c r="F15" s="300">
        <v>0</v>
      </c>
      <c r="G15" s="300">
        <v>0</v>
      </c>
      <c r="H15" s="300">
        <v>2265800</v>
      </c>
      <c r="I15" s="300">
        <v>0</v>
      </c>
      <c r="J15" s="709">
        <f>SUM(C15+D15-H15)</f>
        <v>152215</v>
      </c>
      <c r="K15" s="710"/>
      <c r="L15" s="300">
        <v>282594</v>
      </c>
    </row>
    <row r="16" spans="1:12" s="119" customFormat="1" ht="24">
      <c r="A16" s="302" t="s">
        <v>114</v>
      </c>
      <c r="B16" s="479" t="s">
        <v>176</v>
      </c>
      <c r="C16" s="300">
        <v>23748</v>
      </c>
      <c r="D16" s="300">
        <v>93000</v>
      </c>
      <c r="E16" s="300">
        <v>0</v>
      </c>
      <c r="F16" s="300">
        <v>0</v>
      </c>
      <c r="G16" s="300">
        <v>0</v>
      </c>
      <c r="H16" s="300">
        <f>92210+395</f>
        <v>92605</v>
      </c>
      <c r="I16" s="300">
        <v>395</v>
      </c>
      <c r="J16" s="709">
        <f>SUM(C16+D16-H16)</f>
        <v>24143</v>
      </c>
      <c r="K16" s="710"/>
      <c r="L16" s="300">
        <v>16297</v>
      </c>
    </row>
    <row r="17" spans="1:12" s="145" customFormat="1" ht="19.5" customHeight="1">
      <c r="A17" s="164" t="s">
        <v>172</v>
      </c>
      <c r="B17" s="304" t="s">
        <v>261</v>
      </c>
      <c r="C17" s="155">
        <f aca="true" t="shared" si="1" ref="C17:I17">SUM(C18:C27)</f>
        <v>197918</v>
      </c>
      <c r="D17" s="155">
        <f>SUM(D18:D27)</f>
        <v>615206</v>
      </c>
      <c r="E17" s="155">
        <f t="shared" si="1"/>
        <v>0</v>
      </c>
      <c r="F17" s="155">
        <f t="shared" si="1"/>
        <v>0</v>
      </c>
      <c r="G17" s="155">
        <f t="shared" si="1"/>
        <v>0</v>
      </c>
      <c r="H17" s="155">
        <f t="shared" si="1"/>
        <v>671074</v>
      </c>
      <c r="I17" s="155">
        <f t="shared" si="1"/>
        <v>0</v>
      </c>
      <c r="J17" s="711">
        <f>SUM(J18:K27)</f>
        <v>142050</v>
      </c>
      <c r="K17" s="712"/>
      <c r="L17" s="155">
        <f>SUM(L18:L27)</f>
        <v>0</v>
      </c>
    </row>
    <row r="18" spans="1:12" s="146" customFormat="1" ht="18" customHeight="1">
      <c r="A18" s="481" t="s">
        <v>112</v>
      </c>
      <c r="B18" s="482" t="s">
        <v>177</v>
      </c>
      <c r="C18" s="483">
        <v>6636</v>
      </c>
      <c r="D18" s="484">
        <v>65000</v>
      </c>
      <c r="E18" s="483">
        <v>0</v>
      </c>
      <c r="F18" s="483">
        <v>0</v>
      </c>
      <c r="G18" s="483">
        <v>0</v>
      </c>
      <c r="H18" s="485">
        <v>71636</v>
      </c>
      <c r="I18" s="483">
        <v>0</v>
      </c>
      <c r="J18" s="709">
        <f aca="true" t="shared" si="2" ref="J18:J27">C18+D18-H18</f>
        <v>0</v>
      </c>
      <c r="K18" s="710"/>
      <c r="L18" s="486">
        <v>0</v>
      </c>
    </row>
    <row r="19" spans="1:12" s="146" customFormat="1" ht="24" customHeight="1">
      <c r="A19" s="481" t="s">
        <v>113</v>
      </c>
      <c r="B19" s="544" t="s">
        <v>475</v>
      </c>
      <c r="C19" s="483">
        <v>0</v>
      </c>
      <c r="D19" s="484">
        <v>12022</v>
      </c>
      <c r="E19" s="483">
        <v>0</v>
      </c>
      <c r="F19" s="483">
        <v>0</v>
      </c>
      <c r="G19" s="483">
        <v>0</v>
      </c>
      <c r="H19" s="485">
        <v>12022</v>
      </c>
      <c r="I19" s="483">
        <v>0</v>
      </c>
      <c r="J19" s="709">
        <f t="shared" si="2"/>
        <v>0</v>
      </c>
      <c r="K19" s="710"/>
      <c r="L19" s="486">
        <v>0</v>
      </c>
    </row>
    <row r="20" spans="1:12" s="146" customFormat="1" ht="18" customHeight="1">
      <c r="A20" s="481" t="s">
        <v>114</v>
      </c>
      <c r="B20" s="487" t="s">
        <v>178</v>
      </c>
      <c r="C20" s="300">
        <v>33454</v>
      </c>
      <c r="D20" s="484">
        <v>44775</v>
      </c>
      <c r="E20" s="488">
        <v>0</v>
      </c>
      <c r="F20" s="488">
        <v>0</v>
      </c>
      <c r="G20" s="488">
        <v>0</v>
      </c>
      <c r="H20" s="484">
        <v>44775</v>
      </c>
      <c r="I20" s="488">
        <v>0</v>
      </c>
      <c r="J20" s="709">
        <f t="shared" si="2"/>
        <v>33454</v>
      </c>
      <c r="K20" s="710"/>
      <c r="L20" s="489">
        <v>0</v>
      </c>
    </row>
    <row r="21" spans="1:12" s="119" customFormat="1" ht="25.5" customHeight="1">
      <c r="A21" s="481" t="s">
        <v>104</v>
      </c>
      <c r="B21" s="479" t="s">
        <v>311</v>
      </c>
      <c r="C21" s="300">
        <v>13062</v>
      </c>
      <c r="D21" s="488">
        <v>99000</v>
      </c>
      <c r="E21" s="300">
        <v>0</v>
      </c>
      <c r="F21" s="300">
        <v>0</v>
      </c>
      <c r="G21" s="300">
        <v>0</v>
      </c>
      <c r="H21" s="300">
        <v>99000</v>
      </c>
      <c r="I21" s="300">
        <v>0</v>
      </c>
      <c r="J21" s="709">
        <f t="shared" si="2"/>
        <v>13062</v>
      </c>
      <c r="K21" s="710"/>
      <c r="L21" s="490">
        <v>0</v>
      </c>
    </row>
    <row r="22" spans="1:12" s="119" customFormat="1" ht="18.75" customHeight="1">
      <c r="A22" s="481" t="s">
        <v>118</v>
      </c>
      <c r="B22" s="479" t="s">
        <v>179</v>
      </c>
      <c r="C22" s="300">
        <v>19590</v>
      </c>
      <c r="D22" s="488">
        <v>37964</v>
      </c>
      <c r="E22" s="300">
        <v>0</v>
      </c>
      <c r="F22" s="300">
        <v>0</v>
      </c>
      <c r="G22" s="300">
        <v>0</v>
      </c>
      <c r="H22" s="300">
        <v>57264</v>
      </c>
      <c r="I22" s="300">
        <v>0</v>
      </c>
      <c r="J22" s="709">
        <f t="shared" si="2"/>
        <v>290</v>
      </c>
      <c r="K22" s="710"/>
      <c r="L22" s="490">
        <v>0</v>
      </c>
    </row>
    <row r="23" spans="1:12" s="119" customFormat="1" ht="25.5" customHeight="1">
      <c r="A23" s="481" t="s">
        <v>122</v>
      </c>
      <c r="B23" s="479" t="s">
        <v>180</v>
      </c>
      <c r="C23" s="300">
        <v>16812</v>
      </c>
      <c r="D23" s="488">
        <v>125148</v>
      </c>
      <c r="E23" s="300">
        <v>0</v>
      </c>
      <c r="F23" s="300">
        <v>0</v>
      </c>
      <c r="G23" s="300">
        <v>0</v>
      </c>
      <c r="H23" s="300">
        <v>141960</v>
      </c>
      <c r="I23" s="300">
        <v>0</v>
      </c>
      <c r="J23" s="709">
        <f t="shared" si="2"/>
        <v>0</v>
      </c>
      <c r="K23" s="710"/>
      <c r="L23" s="490">
        <v>0</v>
      </c>
    </row>
    <row r="24" spans="1:12" s="119" customFormat="1" ht="20.25" customHeight="1">
      <c r="A24" s="481" t="s">
        <v>130</v>
      </c>
      <c r="B24" s="479" t="s">
        <v>181</v>
      </c>
      <c r="C24" s="300">
        <v>61698</v>
      </c>
      <c r="D24" s="300">
        <v>10000</v>
      </c>
      <c r="E24" s="300">
        <v>0</v>
      </c>
      <c r="F24" s="300">
        <v>0</v>
      </c>
      <c r="G24" s="300">
        <v>0</v>
      </c>
      <c r="H24" s="300">
        <v>58000</v>
      </c>
      <c r="I24" s="300">
        <v>0</v>
      </c>
      <c r="J24" s="709">
        <f t="shared" si="2"/>
        <v>13698</v>
      </c>
      <c r="K24" s="710"/>
      <c r="L24" s="490">
        <v>0</v>
      </c>
    </row>
    <row r="25" spans="1:12" s="119" customFormat="1" ht="20.25" customHeight="1">
      <c r="A25" s="481" t="s">
        <v>133</v>
      </c>
      <c r="B25" s="479" t="s">
        <v>183</v>
      </c>
      <c r="C25" s="300">
        <v>33738</v>
      </c>
      <c r="D25" s="488">
        <v>204830</v>
      </c>
      <c r="E25" s="300">
        <v>0</v>
      </c>
      <c r="F25" s="300">
        <v>0</v>
      </c>
      <c r="G25" s="300">
        <v>0</v>
      </c>
      <c r="H25" s="300">
        <v>169950</v>
      </c>
      <c r="I25" s="300">
        <v>0</v>
      </c>
      <c r="J25" s="709">
        <f t="shared" si="2"/>
        <v>68618</v>
      </c>
      <c r="K25" s="710"/>
      <c r="L25" s="490">
        <v>0</v>
      </c>
    </row>
    <row r="26" spans="1:12" s="119" customFormat="1" ht="20.25" customHeight="1">
      <c r="A26" s="481" t="s">
        <v>182</v>
      </c>
      <c r="B26" s="479" t="s">
        <v>185</v>
      </c>
      <c r="C26" s="300">
        <v>10278</v>
      </c>
      <c r="D26" s="488">
        <f>74527-68320</f>
        <v>6207</v>
      </c>
      <c r="E26" s="300">
        <v>0</v>
      </c>
      <c r="F26" s="300">
        <v>0</v>
      </c>
      <c r="G26" s="300">
        <v>0</v>
      </c>
      <c r="H26" s="300">
        <f>74527-68320</f>
        <v>6207</v>
      </c>
      <c r="I26" s="300">
        <v>0</v>
      </c>
      <c r="J26" s="709">
        <f t="shared" si="2"/>
        <v>10278</v>
      </c>
      <c r="K26" s="710"/>
      <c r="L26" s="490">
        <v>0</v>
      </c>
    </row>
    <row r="27" spans="1:12" s="147" customFormat="1" ht="24" customHeight="1">
      <c r="A27" s="481" t="s">
        <v>184</v>
      </c>
      <c r="B27" s="31" t="s">
        <v>313</v>
      </c>
      <c r="C27" s="300">
        <v>2650</v>
      </c>
      <c r="D27" s="488">
        <v>10260</v>
      </c>
      <c r="E27" s="300">
        <v>0</v>
      </c>
      <c r="F27" s="300">
        <v>0</v>
      </c>
      <c r="G27" s="300">
        <v>0</v>
      </c>
      <c r="H27" s="300">
        <v>10260</v>
      </c>
      <c r="I27" s="300">
        <v>0</v>
      </c>
      <c r="J27" s="709">
        <f t="shared" si="2"/>
        <v>2650</v>
      </c>
      <c r="K27" s="710"/>
      <c r="L27" s="490">
        <v>0</v>
      </c>
    </row>
    <row r="28" spans="1:12" s="29" customFormat="1" ht="20.25" customHeight="1">
      <c r="A28" s="707" t="s">
        <v>82</v>
      </c>
      <c r="B28" s="707"/>
      <c r="C28" s="155">
        <f aca="true" t="shared" si="3" ref="C28:I28">SUM(C17,C13)</f>
        <v>1428986</v>
      </c>
      <c r="D28" s="155">
        <f t="shared" si="3"/>
        <v>3954006</v>
      </c>
      <c r="E28" s="155">
        <f t="shared" si="3"/>
        <v>0</v>
      </c>
      <c r="F28" s="155">
        <f t="shared" si="3"/>
        <v>0</v>
      </c>
      <c r="G28" s="155">
        <f t="shared" si="3"/>
        <v>0</v>
      </c>
      <c r="H28" s="155">
        <f t="shared" si="3"/>
        <v>4007515</v>
      </c>
      <c r="I28" s="155">
        <f t="shared" si="3"/>
        <v>2359</v>
      </c>
      <c r="J28" s="708">
        <f>SUM(J13,J17)</f>
        <v>1375477</v>
      </c>
      <c r="K28" s="708"/>
      <c r="L28" s="155">
        <f>SUM(L17,L13)</f>
        <v>299315</v>
      </c>
    </row>
    <row r="29" ht="8.25" customHeight="1"/>
    <row r="30" spans="1:7" ht="12.75">
      <c r="A30" s="88" t="s">
        <v>33</v>
      </c>
      <c r="D30" s="24"/>
      <c r="E30" s="24"/>
      <c r="F30" s="24"/>
      <c r="G30" s="24"/>
    </row>
    <row r="31" spans="1:7" s="23" customFormat="1" ht="11.25">
      <c r="A31" s="23" t="s">
        <v>32</v>
      </c>
      <c r="E31" s="108"/>
      <c r="F31" s="108"/>
      <c r="G31" s="108"/>
    </row>
    <row r="32" spans="1:7" s="23" customFormat="1" ht="11.25">
      <c r="A32" s="23" t="s">
        <v>34</v>
      </c>
      <c r="E32" s="108"/>
      <c r="F32" s="108"/>
      <c r="G32" s="108"/>
    </row>
  </sheetData>
  <mergeCells count="33">
    <mergeCell ref="B8:B11"/>
    <mergeCell ref="C8:C11"/>
    <mergeCell ref="D9:D11"/>
    <mergeCell ref="D8:G8"/>
    <mergeCell ref="E9:G9"/>
    <mergeCell ref="F10:G10"/>
    <mergeCell ref="L8:L11"/>
    <mergeCell ref="H8:I8"/>
    <mergeCell ref="J12:K12"/>
    <mergeCell ref="A5:L5"/>
    <mergeCell ref="A6:L6"/>
    <mergeCell ref="E10:E11"/>
    <mergeCell ref="A8:A11"/>
    <mergeCell ref="H10:H11"/>
    <mergeCell ref="I10:I11"/>
    <mergeCell ref="J8:K11"/>
    <mergeCell ref="J16:K16"/>
    <mergeCell ref="J27:K27"/>
    <mergeCell ref="J21:K21"/>
    <mergeCell ref="J22:K22"/>
    <mergeCell ref="J23:K23"/>
    <mergeCell ref="J24:K24"/>
    <mergeCell ref="J19:K19"/>
    <mergeCell ref="A28:B28"/>
    <mergeCell ref="J28:K28"/>
    <mergeCell ref="J13:K13"/>
    <mergeCell ref="J14:K14"/>
    <mergeCell ref="J15:K15"/>
    <mergeCell ref="J17:K17"/>
    <mergeCell ref="J18:K18"/>
    <mergeCell ref="J20:K20"/>
    <mergeCell ref="J25:K25"/>
    <mergeCell ref="J26:K26"/>
  </mergeCells>
  <printOptions/>
  <pageMargins left="0.28" right="0.18" top="0.54" bottom="0.21" header="0.46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5" sqref="A5:F5"/>
    </sheetView>
  </sheetViews>
  <sheetFormatPr defaultColWidth="9.00390625" defaultRowHeight="12.75"/>
  <cols>
    <col min="1" max="1" width="16.75390625" style="0" customWidth="1"/>
    <col min="2" max="2" width="8.75390625" style="0" customWidth="1"/>
    <col min="3" max="3" width="10.00390625" style="0" customWidth="1"/>
    <col min="4" max="4" width="60.125" style="0" customWidth="1"/>
    <col min="5" max="5" width="20.125" style="0" customWidth="1"/>
  </cols>
  <sheetData>
    <row r="1" spans="4:6" ht="12.75">
      <c r="D1" s="45"/>
      <c r="E1" s="32" t="s">
        <v>314</v>
      </c>
      <c r="F1" s="45"/>
    </row>
    <row r="2" spans="4:6" ht="14.25">
      <c r="D2" s="44"/>
      <c r="E2" s="44" t="s">
        <v>506</v>
      </c>
      <c r="F2" s="44"/>
    </row>
    <row r="3" spans="4:6" ht="14.25">
      <c r="D3" s="44"/>
      <c r="E3" s="44" t="s">
        <v>504</v>
      </c>
      <c r="F3" s="44"/>
    </row>
    <row r="5" spans="1:6" ht="18" customHeight="1">
      <c r="A5" s="728" t="s">
        <v>316</v>
      </c>
      <c r="B5" s="728"/>
      <c r="C5" s="728"/>
      <c r="D5" s="728"/>
      <c r="E5" s="728"/>
      <c r="F5" s="728"/>
    </row>
    <row r="6" spans="3:5" ht="18">
      <c r="C6" s="728" t="s">
        <v>331</v>
      </c>
      <c r="D6" s="729"/>
      <c r="E6" s="729"/>
    </row>
    <row r="7" ht="13.5" thickBot="1"/>
    <row r="8" spans="2:5" s="148" customFormat="1" ht="30.75" customHeight="1" thickBot="1">
      <c r="B8" s="185" t="s">
        <v>105</v>
      </c>
      <c r="C8" s="186" t="s">
        <v>106</v>
      </c>
      <c r="D8" s="186" t="s">
        <v>159</v>
      </c>
      <c r="E8" s="187" t="s">
        <v>315</v>
      </c>
    </row>
    <row r="9" spans="2:5" s="148" customFormat="1" ht="13.5" thickBot="1">
      <c r="B9" s="188">
        <v>1</v>
      </c>
      <c r="C9" s="189">
        <v>2</v>
      </c>
      <c r="D9" s="189">
        <v>3</v>
      </c>
      <c r="E9" s="190">
        <v>4</v>
      </c>
    </row>
    <row r="10" spans="2:5" s="149" customFormat="1" ht="21" customHeight="1">
      <c r="B10" s="202">
        <v>750</v>
      </c>
      <c r="C10" s="203">
        <v>75095</v>
      </c>
      <c r="D10" s="195" t="s">
        <v>365</v>
      </c>
      <c r="E10" s="196">
        <v>1000</v>
      </c>
    </row>
    <row r="11" spans="2:7" s="149" customFormat="1" ht="24">
      <c r="B11" s="192">
        <v>754</v>
      </c>
      <c r="C11" s="193">
        <v>75415</v>
      </c>
      <c r="D11" s="194" t="s">
        <v>251</v>
      </c>
      <c r="E11" s="191">
        <v>5000</v>
      </c>
      <c r="G11" s="197"/>
    </row>
    <row r="12" spans="2:5" s="149" customFormat="1" ht="18" customHeight="1">
      <c r="B12" s="192">
        <v>851</v>
      </c>
      <c r="C12" s="193">
        <v>85195</v>
      </c>
      <c r="D12" s="194" t="s">
        <v>252</v>
      </c>
      <c r="E12" s="191">
        <f>3000+1200+1600</f>
        <v>5800</v>
      </c>
    </row>
    <row r="13" spans="2:5" s="149" customFormat="1" ht="24">
      <c r="B13" s="192">
        <v>854</v>
      </c>
      <c r="C13" s="193">
        <v>85415</v>
      </c>
      <c r="D13" s="194" t="s">
        <v>253</v>
      </c>
      <c r="E13" s="191">
        <v>12000</v>
      </c>
    </row>
    <row r="14" spans="2:5" s="149" customFormat="1" ht="18" customHeight="1">
      <c r="B14" s="192">
        <v>921</v>
      </c>
      <c r="C14" s="193">
        <v>92105</v>
      </c>
      <c r="D14" s="194" t="s">
        <v>317</v>
      </c>
      <c r="E14" s="191">
        <v>15000</v>
      </c>
    </row>
    <row r="15" spans="2:5" s="149" customFormat="1" ht="24.75" thickBot="1">
      <c r="B15" s="200">
        <v>926</v>
      </c>
      <c r="C15" s="201">
        <v>92695</v>
      </c>
      <c r="D15" s="199" t="s">
        <v>254</v>
      </c>
      <c r="E15" s="198">
        <v>33500</v>
      </c>
    </row>
    <row r="16" spans="2:5" s="130" customFormat="1" ht="27" customHeight="1" thickBot="1">
      <c r="B16" s="730" t="s">
        <v>166</v>
      </c>
      <c r="C16" s="731"/>
      <c r="D16" s="732"/>
      <c r="E16" s="306">
        <f>SUM(E10:E15)</f>
        <v>72300</v>
      </c>
    </row>
    <row r="19" ht="12.75">
      <c r="E19" s="402"/>
    </row>
  </sheetData>
  <mergeCells count="3">
    <mergeCell ref="C6:E6"/>
    <mergeCell ref="B16:D16"/>
    <mergeCell ref="A5:F5"/>
  </mergeCells>
  <printOptions/>
  <pageMargins left="0.75" right="0.75" top="1.18" bottom="1" header="0.9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0" sqref="E10"/>
    </sheetView>
  </sheetViews>
  <sheetFormatPr defaultColWidth="9.00390625" defaultRowHeight="12.75"/>
  <cols>
    <col min="1" max="1" width="8.875" style="0" customWidth="1"/>
    <col min="4" max="4" width="64.25390625" style="0" customWidth="1"/>
    <col min="5" max="5" width="18.625" style="0" customWidth="1"/>
  </cols>
  <sheetData>
    <row r="1" spans="3:6" ht="15">
      <c r="C1" s="45"/>
      <c r="D1" s="45"/>
      <c r="E1" s="414" t="s">
        <v>319</v>
      </c>
      <c r="F1" s="63"/>
    </row>
    <row r="2" spans="3:6" ht="14.25">
      <c r="C2" s="44"/>
      <c r="D2" s="44"/>
      <c r="E2" s="44" t="s">
        <v>506</v>
      </c>
      <c r="F2" s="66"/>
    </row>
    <row r="3" spans="3:6" ht="14.25">
      <c r="C3" s="44"/>
      <c r="D3" s="44"/>
      <c r="E3" s="44" t="s">
        <v>504</v>
      </c>
      <c r="F3" s="66"/>
    </row>
    <row r="4" ht="6.75" customHeight="1"/>
    <row r="5" spans="4:5" ht="17.25" customHeight="1">
      <c r="D5" s="18" t="s">
        <v>329</v>
      </c>
      <c r="E5" s="2"/>
    </row>
    <row r="6" ht="12.75">
      <c r="E6" s="55" t="s">
        <v>160</v>
      </c>
    </row>
    <row r="7" spans="1:5" s="109" customFormat="1" ht="12.75">
      <c r="A7" s="733" t="s">
        <v>105</v>
      </c>
      <c r="B7" s="733" t="s">
        <v>106</v>
      </c>
      <c r="C7" s="735" t="s">
        <v>186</v>
      </c>
      <c r="D7" s="169"/>
      <c r="E7" s="169"/>
    </row>
    <row r="8" spans="1:5" s="142" customFormat="1" ht="12.75">
      <c r="A8" s="734"/>
      <c r="B8" s="734"/>
      <c r="C8" s="576"/>
      <c r="D8" s="165" t="s">
        <v>107</v>
      </c>
      <c r="E8" s="165" t="s">
        <v>108</v>
      </c>
    </row>
    <row r="9" spans="1:5" s="142" customFormat="1" ht="12.75">
      <c r="A9" s="734"/>
      <c r="B9" s="734"/>
      <c r="C9" s="576"/>
      <c r="D9" s="170"/>
      <c r="E9" s="170"/>
    </row>
    <row r="10" spans="1:5" s="150" customFormat="1" ht="14.25" customHeight="1">
      <c r="A10" s="167">
        <v>1</v>
      </c>
      <c r="B10" s="167">
        <v>2</v>
      </c>
      <c r="C10" s="168">
        <v>3</v>
      </c>
      <c r="D10" s="171">
        <v>4</v>
      </c>
      <c r="E10" s="172">
        <v>5</v>
      </c>
    </row>
    <row r="11" spans="1:5" s="150" customFormat="1" ht="18" customHeight="1">
      <c r="A11" s="177">
        <v>851</v>
      </c>
      <c r="B11" s="173"/>
      <c r="C11" s="174"/>
      <c r="D11" s="175" t="s">
        <v>256</v>
      </c>
      <c r="E11" s="176">
        <f>SUM(E12)</f>
        <v>199200</v>
      </c>
    </row>
    <row r="12" spans="1:5" s="150" customFormat="1" ht="18" customHeight="1">
      <c r="A12" s="177"/>
      <c r="B12" s="181">
        <v>85111</v>
      </c>
      <c r="C12" s="174"/>
      <c r="D12" s="179" t="s">
        <v>257</v>
      </c>
      <c r="E12" s="180">
        <f>SUM(E13:E15)</f>
        <v>199200</v>
      </c>
    </row>
    <row r="13" spans="1:5" s="150" customFormat="1" ht="64.5" customHeight="1">
      <c r="A13" s="517"/>
      <c r="B13" s="177"/>
      <c r="C13" s="519">
        <v>2565</v>
      </c>
      <c r="D13" s="520" t="s">
        <v>18</v>
      </c>
      <c r="E13" s="518">
        <v>2102</v>
      </c>
    </row>
    <row r="14" spans="1:5" s="150" customFormat="1" ht="63.75">
      <c r="A14" s="517"/>
      <c r="B14" s="517"/>
      <c r="C14" s="519">
        <v>6225</v>
      </c>
      <c r="D14" s="182" t="s">
        <v>19</v>
      </c>
      <c r="E14" s="518">
        <v>121515</v>
      </c>
    </row>
    <row r="15" spans="1:5" s="150" customFormat="1" ht="56.25" customHeight="1">
      <c r="A15" s="166"/>
      <c r="B15" s="166"/>
      <c r="C15" s="519">
        <v>6220</v>
      </c>
      <c r="D15" s="182" t="s">
        <v>330</v>
      </c>
      <c r="E15" s="183">
        <f>1149200-2102-121515-950000</f>
        <v>75583</v>
      </c>
    </row>
    <row r="16" spans="1:5" s="147" customFormat="1" ht="21.75" customHeight="1">
      <c r="A16" s="736" t="s">
        <v>255</v>
      </c>
      <c r="B16" s="737"/>
      <c r="C16" s="738"/>
      <c r="D16" s="739"/>
      <c r="E16" s="184">
        <f>SUM(E11)</f>
        <v>199200</v>
      </c>
    </row>
    <row r="17" ht="25.5" customHeight="1">
      <c r="A17" s="74"/>
    </row>
  </sheetData>
  <mergeCells count="4">
    <mergeCell ref="A7:A9"/>
    <mergeCell ref="B7:B9"/>
    <mergeCell ref="C7:C9"/>
    <mergeCell ref="A16:D16"/>
  </mergeCells>
  <printOptions/>
  <pageMargins left="1.33" right="0.75" top="1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Grazyna</cp:lastModifiedBy>
  <cp:lastPrinted>2008-07-04T08:31:04Z</cp:lastPrinted>
  <dcterms:created xsi:type="dcterms:W3CDTF">1998-12-09T13:02:10Z</dcterms:created>
  <dcterms:modified xsi:type="dcterms:W3CDTF">2008-07-04T08:32:26Z</dcterms:modified>
  <cp:category/>
  <cp:version/>
  <cp:contentType/>
  <cp:contentStatus/>
</cp:coreProperties>
</file>