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6" firstSheet="8" activeTab="14"/>
  </bookViews>
  <sheets>
    <sheet name="zal1-doch" sheetId="1" r:id="rId1"/>
    <sheet name="zał1a-doch" sheetId="2" r:id="rId2"/>
    <sheet name="zal2-wyd" sheetId="3" r:id="rId3"/>
    <sheet name="zał3-zlec" sheetId="4" r:id="rId4"/>
    <sheet name="zał4-poroz" sheetId="5" r:id="rId5"/>
    <sheet name="zał5-prog wielol" sheetId="6" r:id="rId6"/>
    <sheet name="zał6-pozostałe mająt" sheetId="7" r:id="rId7"/>
    <sheet name="zał7-projekty unia" sheetId="8" r:id="rId8"/>
    <sheet name="zał8-progn" sheetId="9" r:id="rId9"/>
    <sheet name="zał8a-syt finans" sheetId="10" r:id="rId10"/>
    <sheet name="zał9-sfin" sheetId="11" r:id="rId11"/>
    <sheet name="zał10-gosp" sheetId="12" r:id="rId12"/>
    <sheet name="zał11-zadania" sheetId="13" r:id="rId13"/>
    <sheet name="zał12-szk niepub" sheetId="14" r:id="rId14"/>
    <sheet name="zał13-F.Ochr Środ" sheetId="15" r:id="rId15"/>
    <sheet name="zał14-F.Geod" sheetId="16" r:id="rId16"/>
  </sheets>
  <definedNames>
    <definedName name="_xlnm.Print_Titles" localSheetId="0">'zal1-doch'!$8:$9</definedName>
    <definedName name="_xlnm.Print_Titles" localSheetId="2">'zal2-wyd'!$8:$10</definedName>
    <definedName name="_xlnm.Print_Titles" localSheetId="3">'zał3-zlec'!$10:$10</definedName>
    <definedName name="_xlnm.Print_Titles" localSheetId="4">'zał4-poroz'!$9:$11</definedName>
    <definedName name="_xlnm.Print_Titles" localSheetId="5">'zał5-prog wielol'!$11:$14</definedName>
    <definedName name="_xlnm.Print_Titles" localSheetId="6">'zał6-pozostałe mająt'!$7:$8</definedName>
    <definedName name="_xlnm.Print_Titles" localSheetId="7">'zał7-projekty unia'!$7:$13</definedName>
    <definedName name="_xlnm.Print_Titles" localSheetId="9">'zał8a-syt finans'!$A:$B</definedName>
    <definedName name="_xlnm.Print_Titles" localSheetId="8">'zał8-progn'!$A:$B</definedName>
  </definedNames>
  <calcPr fullCalcOnLoad="1"/>
</workbook>
</file>

<file path=xl/sharedStrings.xml><?xml version="1.0" encoding="utf-8"?>
<sst xmlns="http://schemas.openxmlformats.org/spreadsheetml/2006/main" count="1652" uniqueCount="765">
  <si>
    <t>Wynagrodzenia osobowe członków korpusu służby cywilnej</t>
  </si>
  <si>
    <t>4040</t>
  </si>
  <si>
    <t>Dodatkowe wynagrodzenia roczne</t>
  </si>
  <si>
    <t>4110</t>
  </si>
  <si>
    <t>Składki na ubezpieczenie społeczne</t>
  </si>
  <si>
    <t>4120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</si>
  <si>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</si>
  <si>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</si>
  <si>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</si>
  <si>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</si>
  <si>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</si>
  <si>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</si>
  <si>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</si>
  <si>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</si>
  <si>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Rózne opłaty i składki</t>
  </si>
  <si>
    <t>4440</t>
  </si>
  <si>
    <t>Odpisy na zakładowy fundusz świadczeń socjalnych</t>
  </si>
  <si>
    <t>6060</t>
  </si>
  <si>
    <t>Wydatki na zakupy inwestycyjne jednostek budżetowych</t>
  </si>
  <si>
    <t>3030</t>
  </si>
  <si>
    <t>Różne wydatki na rzecz osób fizycznych</t>
  </si>
  <si>
    <t>3020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</si>
  <si>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</si>
  <si>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</si>
  <si>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</si>
  <si>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</si>
  <si>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</si>
  <si>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</si>
  <si>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4180</t>
  </si>
  <si>
    <t>4220</t>
  </si>
  <si>
    <t>Zakup środków żywności</t>
  </si>
  <si>
    <t>4500</t>
  </si>
  <si>
    <t>Pozostałe podatki na rzecz budżetów jednostek samorządu terytorialnego</t>
  </si>
  <si>
    <t>4510</t>
  </si>
  <si>
    <t>Opłaty na rzecz budżetu państwa</t>
  </si>
  <si>
    <t>6050</t>
  </si>
  <si>
    <t>Wydatki inwestycyjne jednostek budżetowych</t>
  </si>
  <si>
    <t>4130</t>
  </si>
  <si>
    <t>Składki na ubezpieczenie zdrowotne</t>
  </si>
  <si>
    <t>OPIEKA SPOŁECZNA</t>
  </si>
  <si>
    <t xml:space="preserve">Wydatki osobowe nie zaliczone do wynagrodzeń </t>
  </si>
  <si>
    <t xml:space="preserve">              OGÓŁEM</t>
  </si>
  <si>
    <t>Równowazniki pienieżne i ekwiwalenty dla żołnierzy i funkcjonariuszy</t>
  </si>
  <si>
    <t>KLASYFIKACJA</t>
  </si>
  <si>
    <t>DOCHODY</t>
  </si>
  <si>
    <t>WYDATKI</t>
  </si>
  <si>
    <t xml:space="preserve">                                      z dnia 29 grudnia 2005 roku</t>
  </si>
  <si>
    <t>II. Podatek od osób prawnych  § 0020</t>
  </si>
  <si>
    <t>III. Dochody z majątku powiatu</t>
  </si>
  <si>
    <t>IV. Wpłaty od jednostek organizacyjnych powiatu</t>
  </si>
  <si>
    <t>V. Pozostałe dochody</t>
  </si>
  <si>
    <t>Dotacje celowe przekazane gminie na zadania bieżące realizowane na podstawie porozumień (umów) między jednostkami samorządu terytorialnego</t>
  </si>
  <si>
    <t xml:space="preserve">1) Całoroczne utrzymanie dróg powiatowych w miastach, w tym: </t>
  </si>
  <si>
    <t xml:space="preserve">           ZALEWO - 38.060,-</t>
  </si>
  <si>
    <t xml:space="preserve">           LUBAWA - 47.230,-</t>
  </si>
  <si>
    <t>Dotacje celowe otrzymane od samorządu województwa na zadania bieżące realizowane na podstawie porozumień między jednostkami samorządu terytorialnego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</si>
  <si>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</si>
  <si>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</si>
  <si>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 xml:space="preserve">Nauka religii bizantyjsko-ukraińskiej, kościoła zielonoświątkowego - miasto Iława </t>
  </si>
  <si>
    <t>Dotacje celowe otrzymane od samorządu województwa na zadania bieżące realizowane na podstawie porozumień (umów) między jednostkami samorządu terytorialnego</t>
  </si>
  <si>
    <t>Dotacje otrzymane z gminy na zadania bieżące realizowane na podstawie porozumień między jst</t>
  </si>
  <si>
    <t>Partycypacja w kosztach utrzymania placówki opiekuńczo-wychowawczej "Słoneczko" w Zalewie - Gmina Zalewo</t>
  </si>
  <si>
    <t>Prowadzenie Biblioteki Powiatowej przez Miejską Bibliotekę Publiczną w Iławie działającą w strukturze Iławskiego Centrum Kultury w Iławie</t>
  </si>
  <si>
    <t xml:space="preserve">                                       umów (porozumień) z innymi jednostkami samorządu terytorialnego</t>
  </si>
  <si>
    <t>Nazwa zadania inwestycyjnego</t>
  </si>
  <si>
    <t>Lata realizacji</t>
  </si>
  <si>
    <t>Nakłady poniesione do 31.XII.2004</t>
  </si>
  <si>
    <t>Pozostałe nakłady do poniesienia (8+12+13+14)</t>
  </si>
  <si>
    <t>PLANOWANE NAKŁADY</t>
  </si>
  <si>
    <t>Jednostka organizacyjna realizująca zadanie</t>
  </si>
  <si>
    <t>ŹRÓDŁA FINANSOWANIA</t>
  </si>
  <si>
    <t>Rok 2006</t>
  </si>
  <si>
    <t>Rok 2007</t>
  </si>
  <si>
    <t>Środki własne</t>
  </si>
  <si>
    <t>Kredyty i pożyczki</t>
  </si>
  <si>
    <t xml:space="preserve">Modernizacja drogi Iława-Boreczno, odcinek Makowo-Sąpy </t>
  </si>
  <si>
    <t xml:space="preserve"> 2000-2008</t>
  </si>
  <si>
    <t>PZD Iława</t>
  </si>
  <si>
    <t xml:space="preserve"> 2002-2008</t>
  </si>
  <si>
    <t>2002-2009</t>
  </si>
  <si>
    <t>2003-2005</t>
  </si>
  <si>
    <t>Zmiana układu komunikacji w Iławie ul.Andersa</t>
  </si>
  <si>
    <t>2004-2005</t>
  </si>
  <si>
    <t>2005-2009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</si>
  <si>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</si>
  <si>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</si>
  <si>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</si>
  <si>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</si>
  <si>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</si>
  <si>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</si>
  <si>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</si>
  <si>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</si>
  <si>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</si>
  <si>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8</t>
  </si>
  <si>
    <t>( w złotych )</t>
  </si>
  <si>
    <t>podmiotom nie zaliczanych do sektora finansów publicznych</t>
  </si>
  <si>
    <t>Zapewnienie bezpiecznego wypoczynku na akwenach wodnychwypoczywających mieszkańców Powiatu oraz przybyłych turystów</t>
  </si>
  <si>
    <t>Promocja zdrowia w powiecie iławskim</t>
  </si>
  <si>
    <t>Prowadzenie placówki rodzinnej - Rodzinny Dom Dziecka</t>
  </si>
  <si>
    <r>
      <t xml:space="preserve">           </t>
    </r>
    <r>
      <rPr>
        <b/>
        <u val="single"/>
        <sz val="16"/>
        <rFont val="Arial CE"/>
        <family val="2"/>
      </rPr>
      <t xml:space="preserve">PLAN DOCHODÓW POWIATU IŁAWSKIEGO </t>
    </r>
  </si>
  <si>
    <t>NA 2006 ROK</t>
  </si>
  <si>
    <t>Realizacja programu "Równe Szanse" polegającego na wspieraniu pomocą stypendialną studentów i uczniów szkół ponadgimnazjalnych</t>
  </si>
  <si>
    <t>Dofinansowanie imprez kulturalnych o zasięgu powiatowym</t>
  </si>
  <si>
    <t>Dofinansowanie imprez sportowych i rekreacyjnych dla mieszkańców powiatu</t>
  </si>
  <si>
    <t xml:space="preserve">Liceum Ogólnokształcące dla dorosłych w Iławie </t>
  </si>
  <si>
    <t>ul. M. Skłodowskiej 31</t>
  </si>
  <si>
    <t>Centrum Edukacji i Marketingu w Lubawie</t>
  </si>
  <si>
    <t>ul. Kupnera 33</t>
  </si>
  <si>
    <t>Warmińsko Mazurski Zakład Doskonalenia Zawodowego w Olsztynie</t>
  </si>
  <si>
    <t>Centrum Kształcenia Zawodowego w Iławie, ul.Grunwaldzka 13</t>
  </si>
  <si>
    <t>Towarzystwo Wiedzy Powszechnej O/Rejonowy w Olsztynie</t>
  </si>
  <si>
    <t>ul. Wyzwolenia 30</t>
  </si>
  <si>
    <t xml:space="preserve">Centrum Edukacji Dorosłych "ALFA" Gdańsk </t>
  </si>
  <si>
    <t>Centrum Edukacji Dorosłych "ALFA" Studium Policealne</t>
  </si>
  <si>
    <t>ul. Andersa 7, 14-200 Iława</t>
  </si>
  <si>
    <t>Ogółem kwota dotacji</t>
  </si>
  <si>
    <t>Centrum Kształcenia Praktycznego w Iławie</t>
  </si>
  <si>
    <t xml:space="preserve">Ochrony Środowiska i Gospodarki Wodnej </t>
  </si>
  <si>
    <t>Dotacje celowe przekazane dla powiatu na na zadania bieżące realizowane na podstawie porozumień między jst</t>
  </si>
  <si>
    <t>Pokrywanie kosztów utrzymania dzieci z terenu naszego powiatu umieszczonych w placówkach opiekuńczo-wychowawczych na terenie innego powiatu</t>
  </si>
  <si>
    <t>3070</t>
  </si>
  <si>
    <t>Wydatki osobowe niezaliczone do uposażeń wypłacane żołnierzom i funkcjonariuszom</t>
  </si>
  <si>
    <t>Wykonanie</t>
  </si>
  <si>
    <t>Szkolenie i kwalifikacja kandydatów do pełnienia funkcji rodzin zastępczych niespokrewnionych z dziekiem oraz zawodowych rodzin zastępczych niespokrewnionych z dzieckiem</t>
  </si>
  <si>
    <t>4590</t>
  </si>
  <si>
    <t>Kary i odszkodowania wypłacane na rzecz osób fizycznych</t>
  </si>
  <si>
    <t>4170</t>
  </si>
  <si>
    <t>85334</t>
  </si>
  <si>
    <t>Pomoc dla repatriantów</t>
  </si>
  <si>
    <t>Dotacje celowe otrzymane z powiatu na zadania bieżące realizowane na podstawie porozumień (umów) między jednostkami samorządu terytorialnego</t>
  </si>
  <si>
    <t xml:space="preserve">Starostwo Powiatowe </t>
  </si>
  <si>
    <t>Realizacja programu "Wrota Warmii i Mazur - efektywna platforma funkcjonowania administraracji publicznych oraz świadczenia usług publicznych</t>
  </si>
  <si>
    <t>Współpraca z organizacjami pozarządowymi</t>
  </si>
  <si>
    <t>Współfinansowanie kosztów zatrudnienia pracownika oddelegowanego do pracy w Międzyzwiązkowej Organizacji Związkowej obsługującego szkoły i placówki na terenie miasta Iława - porozumienie z miastem Iława</t>
  </si>
  <si>
    <t>Dotacja na pokrycie kosztów utrzymania dziecka w rodzinie zastępczej - porozumienie z Powiatem Kwidzyńskim</t>
  </si>
  <si>
    <t xml:space="preserve">                     Załącznik Nr 5</t>
  </si>
  <si>
    <t>Dotacje celowe otrzymane z gminy na inwestycje i zakupy inwestycyjne realizowane na podstawie porozumień (umów) między jednostkami samorządu terytorialnego</t>
  </si>
  <si>
    <t xml:space="preserve">                     Załącznik Nr 10</t>
  </si>
  <si>
    <t>§ 0920 - Pozostałe odsetki</t>
  </si>
  <si>
    <t xml:space="preserve">                     Załącznik Nr 12</t>
  </si>
  <si>
    <t>4420</t>
  </si>
  <si>
    <t>Podróże służbowe zagraniczne</t>
  </si>
  <si>
    <t xml:space="preserve">                     Załącznik Nr 11</t>
  </si>
  <si>
    <t xml:space="preserve">                     Załącznik Nr 6</t>
  </si>
  <si>
    <t>Dotacje celowe z budżetu na finansowanie lub dofinansowanie kosztów realizacji inwestycji i zakupów inwestycyjnych innych jednostek sektora finansów publicznych - Rozbudowa Szpitala Powiatowego w Iławie II etap - nowy blok operacyjny</t>
  </si>
  <si>
    <t>Gmina</t>
  </si>
  <si>
    <t xml:space="preserve">1) </t>
  </si>
  <si>
    <t>Dotacja dla budżetu Miasta Katowice na pokrycie kosztów utrzymania dziecka w rodzinie zastępczej</t>
  </si>
  <si>
    <t>§ 0580 - Grzywny i inne kary pieniężne od osób prawnych i innych jednostek organizacyjnych</t>
  </si>
  <si>
    <t>§ 4260 - Zakup energii</t>
  </si>
  <si>
    <t>RACHUNEK DOCHODÓW WŁASNYCH w tym:</t>
  </si>
  <si>
    <t xml:space="preserve">                     Załącznik Nr 3</t>
  </si>
  <si>
    <t>4280</t>
  </si>
  <si>
    <t>Zakup usług zdrowotnych</t>
  </si>
  <si>
    <t>Wynagrodzenie bezosobowe</t>
  </si>
  <si>
    <t>Rozbudowa infrastruktury szerokopasmowego dostępu do Internetu na terenie gmin powiatu iławskiego</t>
  </si>
  <si>
    <t xml:space="preserve"> </t>
  </si>
  <si>
    <t>60053</t>
  </si>
  <si>
    <t>6619</t>
  </si>
  <si>
    <t>2700</t>
  </si>
  <si>
    <t>Środki na dofinansowanie własnych zadań bieżących gmin, powiatów, samorządów województw pozyskane z innych źródeł</t>
  </si>
  <si>
    <t>80197</t>
  </si>
  <si>
    <t>803</t>
  </si>
  <si>
    <t>SZKOLNICTWO WYŻSZE</t>
  </si>
  <si>
    <t>80309</t>
  </si>
  <si>
    <t>0680</t>
  </si>
  <si>
    <t>2320</t>
  </si>
  <si>
    <t>85295</t>
  </si>
  <si>
    <t>Plan na rok 2006</t>
  </si>
  <si>
    <t xml:space="preserve">Dotacje celowe </t>
  </si>
  <si>
    <t>na zadania zlecone</t>
  </si>
  <si>
    <t xml:space="preserve">na zadania własne </t>
  </si>
  <si>
    <t>na podstawie porozumień między jednostkami samorządu terytorialnego</t>
  </si>
  <si>
    <t>Środki pozyskane z innych źródeł</t>
  </si>
  <si>
    <t>2. Wydatki majątkowe</t>
  </si>
  <si>
    <t>Przewidywane wykonanie 2005</t>
  </si>
  <si>
    <t>Dotacje celowe przekazane gminie na inwestycje i zakupy inwestycyjne realizowane na podstawie porozumień (umów) między jednostkami samorządu terytorialnego</t>
  </si>
  <si>
    <t>Dofinansowanie modernizacji ul. Rzepnikowskiego w Lubawie - 100.000,-zł</t>
  </si>
  <si>
    <t xml:space="preserve">           Gmina Zalewo - 20.238,-</t>
  </si>
  <si>
    <t xml:space="preserve">           Gmina Wiejska Lubawa - 29.827,-</t>
  </si>
  <si>
    <t xml:space="preserve">           Gmina Kisielice - 18.067,-</t>
  </si>
  <si>
    <t xml:space="preserve">           Gmina Susz -       37.234,-</t>
  </si>
  <si>
    <t xml:space="preserve">           Gmina Wiejska Iława -     34.009,- </t>
  </si>
  <si>
    <t>2708</t>
  </si>
  <si>
    <t>2709</t>
  </si>
  <si>
    <t>oświatowo-wychowawczych w 2006 roku</t>
  </si>
  <si>
    <t>4250</t>
  </si>
  <si>
    <t>4350</t>
  </si>
  <si>
    <t>Dotacje celowe otrzymane z gminy na inwestycje i zakupy inwestycyjne realizowane na podstawie porozumień (umów) miedzy jednostkami samorządu terytorialnego</t>
  </si>
  <si>
    <t>Infrastruktura telekomunikacyjna</t>
  </si>
  <si>
    <t>Pomoc materialna dla studentów</t>
  </si>
  <si>
    <t>Plan</t>
  </si>
  <si>
    <t>na 2006 r.</t>
  </si>
  <si>
    <t>1. Ze sprzedaży</t>
  </si>
  <si>
    <t>2. Z dzierżawy</t>
  </si>
  <si>
    <t>V. Subwencja ogólna</t>
  </si>
  <si>
    <t>VI. Ogółem dotacje</t>
  </si>
  <si>
    <t>1. Dotacje celowe na zadania</t>
  </si>
  <si>
    <t>2. Dotacje celowe na zadania z zakr.</t>
  </si>
  <si>
    <t>adminstr. rządowej wykon.przez</t>
  </si>
  <si>
    <t>powiat oraz na realiz. zadań służb,</t>
  </si>
  <si>
    <t>inspekcji i straży § 2110,§ 6410</t>
  </si>
  <si>
    <t>3. Dotacje celowe na zadania</t>
  </si>
  <si>
    <t>(umowy i porozumienia)</t>
  </si>
  <si>
    <t xml:space="preserve"> § 2310-2330, § 6610-6630</t>
  </si>
  <si>
    <t>4. Inne dotacje</t>
  </si>
  <si>
    <t>C. Środki pozyskane z innych źródeł</t>
  </si>
  <si>
    <t>(bieżące i inwestycyjne)</t>
  </si>
  <si>
    <t>DOCHODY OGÓŁEM (A+B+C)</t>
  </si>
  <si>
    <t xml:space="preserve">            Plan dochodów budżetu powiatu na 2006 r.</t>
  </si>
  <si>
    <t xml:space="preserve">                     Załącznik Nr 1a</t>
  </si>
  <si>
    <t>B. Ogółem subwencje i dotacje (V+VI)</t>
  </si>
  <si>
    <t>A. Ogółem dochody własne (I+II+III+IV)</t>
  </si>
  <si>
    <t>I. Podatek od osób fizycznych § 0010</t>
  </si>
  <si>
    <t xml:space="preserve"> własne powiatu § 2130, § 6430</t>
  </si>
  <si>
    <t>Dotacje celowe otrzymane z powiatu na zadania bieżące realizowane na podstawie porozumień (umów) miedzy jednostkami samorzadu terytorialnego</t>
  </si>
  <si>
    <t>Wpływy od rodziców z tytułu odpłatności za utrzymanie dzieci (wychowawnków) w placówkach opiekuńczo-wyhowawczych</t>
  </si>
  <si>
    <t>01008</t>
  </si>
  <si>
    <t>Melioracje wodne</t>
  </si>
  <si>
    <t>Zakup usług dostępu do sieci Internet</t>
  </si>
  <si>
    <t>75075</t>
  </si>
  <si>
    <t>75495</t>
  </si>
  <si>
    <t>75405</t>
  </si>
  <si>
    <t>80114</t>
  </si>
  <si>
    <t>i nie działających w celu osiągnięcia zysku w roku 2006</t>
  </si>
  <si>
    <t>Kurs samoobrony dla pań w miastach powiatu iławskiego</t>
  </si>
  <si>
    <t>Poradnictwo w zakresie profilaktyki i rozwiązywania problemów alkoholowych oraz przemocy domowej</t>
  </si>
  <si>
    <t>Źródła sfinansowania deficytu lub rozdysponowanie                                                           nadwyżki budżetowej w 2006 r.</t>
  </si>
  <si>
    <t>Wydatki na pomoc finansową udzieloną miedzy jst na dofinansowanie własnych zadań inwestycyjnych (Miasto Iława - ul. Narutowicza)</t>
  </si>
  <si>
    <t>Wykonanie 2005 r.</t>
  </si>
  <si>
    <t>Wykonanie 2005</t>
  </si>
  <si>
    <t xml:space="preserve">         wynagrodzenia i pochodne od wynagrodzeń</t>
  </si>
  <si>
    <t xml:space="preserve">         pozostałe wydatki majątkowe</t>
  </si>
  <si>
    <t xml:space="preserve">                     Załącznik Nr 4</t>
  </si>
  <si>
    <t>Wydatki  inwestycyjne powiatu w roku budżetowym 2006 oraz wydatki</t>
  </si>
  <si>
    <t>na wieloletnie programy inwestycyjne w latach 2006-2008</t>
  </si>
  <si>
    <t>Wydatki* na programy i projekty ze środków funduszy strukturalnych i Funduszu Spójności (art. 124 ust. 1 pkt 4a ustawy o finansach publicznych)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</si>
  <si>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</si>
  <si>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</si>
  <si>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</si>
  <si>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</si>
  <si>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</si>
  <si>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</si>
  <si>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</si>
  <si>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2006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</si>
  <si>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</si>
  <si>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</si>
  <si>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</si>
  <si>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</si>
  <si>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</si>
  <si>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</si>
  <si>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</si>
  <si>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</si>
  <si>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</si>
  <si>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</si>
  <si>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</si>
  <si>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</si>
  <si>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</si>
  <si>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</si>
  <si>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</si>
  <si>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</si>
  <si>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</si>
  <si>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</si>
  <si>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</si>
  <si>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2005r.</t>
  </si>
  <si>
    <t>2007 r.</t>
  </si>
  <si>
    <t>2008 r.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</si>
  <si>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</si>
  <si>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</si>
  <si>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</si>
  <si>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</si>
  <si>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</si>
  <si>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</si>
  <si>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</si>
  <si>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</si>
  <si>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Zintegrowany Program Operacyjny Rozwoju Regionalnego (ZPORR) 2004-2006</t>
  </si>
  <si>
    <t>Priorytet 2. Wzmocnienie rozwoju zasobów ludzkich w regionach</t>
  </si>
  <si>
    <t>Działanie 2.2 Wyrównywanie szans edukacyjnych poprzez programy stypendialne</t>
  </si>
  <si>
    <t>Stypendia dla ponadgimnazjalistów Powiatu Iławskiego</t>
  </si>
  <si>
    <t>Dział 854 Rozdział 85415</t>
  </si>
  <si>
    <t>Pomoc stypendialna Powiatu Iławskiego studentom z obszarów zmarginalizowanych</t>
  </si>
  <si>
    <t>Dział 803 Rozdział 80309</t>
  </si>
  <si>
    <t>1.4</t>
  </si>
  <si>
    <t>1.5</t>
  </si>
  <si>
    <t>1.6</t>
  </si>
  <si>
    <t>INFRASTRUKTURA TELEKOMUNIKACYJNA</t>
  </si>
  <si>
    <t xml:space="preserve">                     Załącznik Nr 8a</t>
  </si>
  <si>
    <t>DOCHODY OGÓŁEM</t>
  </si>
  <si>
    <t>SPŁATA ZOBOWIĄZAŃ (A+B+C+D)</t>
  </si>
  <si>
    <t>A.</t>
  </si>
  <si>
    <t xml:space="preserve">1. </t>
  </si>
  <si>
    <t>spłata pożyczek, kredytów krajowych</t>
  </si>
  <si>
    <t>Komendy Powiatowe Policji</t>
  </si>
  <si>
    <t xml:space="preserve">                     Załącznik Nr 2</t>
  </si>
  <si>
    <t>1)</t>
  </si>
  <si>
    <t xml:space="preserve">                     Załącznik Nr 7</t>
  </si>
  <si>
    <t>- materiały</t>
  </si>
  <si>
    <t>Wrota Warmii i Mazur - elektroniczna platforma funkcjonowania administracji publicznej oraz świadczenia usług publicznych</t>
  </si>
  <si>
    <t>322 i 323</t>
  </si>
  <si>
    <t>Dział 750 Rozdział 75020</t>
  </si>
  <si>
    <t xml:space="preserve">Działanie 3.1 Obszary wiejskie </t>
  </si>
  <si>
    <t>Priorytet 3. Rozwój lokalny</t>
  </si>
  <si>
    <t>Modernizacja drogi powiatowej Nr 26226 Lipowy Dwór-Szałkowo - odcinek długości 1 km</t>
  </si>
  <si>
    <t>Modernizacja drogi powiatowej Nr 26226 Lipowy Dwór-Szałkowo dł. 1 km</t>
  </si>
  <si>
    <t>Dział 600 Rozdział 60014</t>
  </si>
  <si>
    <t xml:space="preserve">Modernizacja drogi powiatowej Nr 09571 Różanki-Babienty odcinek Rózanki-Redaki </t>
  </si>
  <si>
    <t>Modernizacja drogi powiatowej Nr 09571 Różanki-Babienty odcinek Rózanki-Redaki</t>
  </si>
  <si>
    <t xml:space="preserve">Modernizacja drogi powiatowej Nr 26251 Złotowo-Pratnica w miejscowości Omule </t>
  </si>
  <si>
    <t>Modernizacja drogi powiatowej Nr 26251 Złotowo-Pratnica w miejscowości Omule</t>
  </si>
  <si>
    <t xml:space="preserve">Modernizacja drogi powiatowej Nr 09583 Ogrodzieniec -Trupel na odcinku 3,1 km </t>
  </si>
  <si>
    <t>Zespoły obsługi ekonomiczno-administracyjnej szkół</t>
  </si>
  <si>
    <t>w tym wydatki na wieloletnie programy inwestycyjne</t>
  </si>
  <si>
    <t>zakup sprzetu komputerowego wraz z oprogramowaniem</t>
  </si>
  <si>
    <t>zakup zamka automatycznego na czytnik wraz z zakupem kart magnetycznych na drzwi wejściowe</t>
  </si>
  <si>
    <t xml:space="preserve">zakup klimatyzatorów do wydziału komunikacji i sekretariatu </t>
  </si>
  <si>
    <t>zakup samochodu ciężarowego używanego</t>
  </si>
  <si>
    <t>zakup sprzetu do lokalizacji pojazdów tj. stacji bazowej do przyjmowania zgłoszeń</t>
  </si>
  <si>
    <t>wdrożenie funkcjonowania nr 112 w "Centrum" tj. zakup oprogramowania dla obsługi nr 112</t>
  </si>
  <si>
    <t>zakup samochodu osobowego</t>
  </si>
  <si>
    <t>winda dla niepełnosprawnych z montażem</t>
  </si>
  <si>
    <t>PCPR</t>
  </si>
  <si>
    <t>Promocja jednostek samorządu terytorialnego</t>
  </si>
  <si>
    <t>2. Wydatki majątkowe, w tym:</t>
  </si>
  <si>
    <t xml:space="preserve">      wydatki inwestycyjne'</t>
  </si>
  <si>
    <t xml:space="preserve">      pozostałe wydatki majątkowe</t>
  </si>
  <si>
    <t>Dotacje celowe przekazane gminie na inwestycje i zakupy inwestycyjne realizowane na podstawie porozumień (umów) między jednostkami samorządu terytorialnego - Dofinansowanie modernizacji ul. Rzepnikowskiego w Lubawie</t>
  </si>
  <si>
    <t>Dotacje celowe z budżetu na finansowanie lub dofinansowanie kosztów realizacji inwestycji i zakupów inwestycyjnych innych jednostek sektora finansów publicznych - Zakup sprzętu medycznego przez Szpital Powiatowy w Iławie</t>
  </si>
  <si>
    <t>VIII.1</t>
  </si>
  <si>
    <t>VIII.2</t>
  </si>
  <si>
    <t>IX.1</t>
  </si>
  <si>
    <t>IX.2</t>
  </si>
  <si>
    <t xml:space="preserve">Dofinansowanie projektu pn. "Rozbudowa infrastruktury szerokopasmowego dostępu do Internetu na terenie gmin powiatu iławskiego" </t>
  </si>
  <si>
    <r>
      <t xml:space="preserve">          </t>
    </r>
    <r>
      <rPr>
        <b/>
        <u val="single"/>
        <sz val="12"/>
        <rFont val="Arial CE"/>
        <family val="2"/>
      </rPr>
      <t>PLAN WYDATKÓW BUDŻETU POWIATU IŁAWSKIEGO NA 2006 ROK</t>
    </r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</si>
  <si>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</si>
  <si>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</si>
  <si>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</si>
  <si>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</si>
  <si>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</si>
  <si>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</si>
  <si>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</si>
  <si>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</si>
  <si>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</si>
  <si>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</si>
  <si>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</si>
  <si>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</si>
  <si>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DŁUG/DOCHODY (%) (art.. 114 ust.1 u.f.p.))</t>
  </si>
  <si>
    <t>Spłaty kredytów, pozyczek do dochodów (%) (art.. 113 ust.1 u.f.p.))</t>
  </si>
  <si>
    <t>DŁUG/DOCHODY (%) (art.. 114 ust.3 u.f.p.))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</si>
  <si>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</si>
  <si>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</si>
  <si>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</si>
  <si>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</si>
  <si>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</si>
  <si>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</si>
  <si>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</si>
  <si>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</si>
  <si>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</si>
  <si>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</si>
  <si>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</si>
  <si>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</si>
  <si>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§ 937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</si>
  <si>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</si>
  <si>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</si>
  <si>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</si>
  <si>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</si>
  <si>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</si>
  <si>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 xml:space="preserve">               oraz plany dochodów i wydatków rachunku dochodów własnych na rok 2006</t>
  </si>
  <si>
    <t xml:space="preserve">                               Plany przychodów i wydatków gospodarstw pomocniczych </t>
  </si>
  <si>
    <t>Przychody *)</t>
  </si>
  <si>
    <t>*) w rachunku dochodów własnych - Dochody</t>
  </si>
  <si>
    <t>Stan środków obrotowych na pocz. roku 2006</t>
  </si>
  <si>
    <t>Stan środków obrotowych na koniec roku 2006</t>
  </si>
  <si>
    <t>Wykaz zadań własnych powiatu zlecanych do realizacji</t>
  </si>
  <si>
    <t>Dotacje dla niepublicznych szkół i placówek</t>
  </si>
  <si>
    <t>Dotacje celowe z budżetu na finansowanie lub dofinansowanie kosztów realizacji inwestycji i zakupów inwestycyjnych innych jednostek sektora finansów publicznych - Promocja i specjalistyczna ochrona zdrowia matki i dziecka - profilaktyka, edukacja  nowy trakt porodowy</t>
  </si>
  <si>
    <t>Priorytet 1. Rozbudowa i modernizacja infrastruktury służącej wzmacnianiu konkurencyjności regionów</t>
  </si>
  <si>
    <t xml:space="preserve">Działanie 1.5 Infrastruktura Społeczeństwa Informacyjnego </t>
  </si>
  <si>
    <t>Dział 600 Rozdział 60053</t>
  </si>
  <si>
    <t>Plan na 2006 r. ogółem</t>
  </si>
  <si>
    <t>w tym: zobowiązania wymagalne</t>
  </si>
  <si>
    <t xml:space="preserve">          zleconych powiatowi i innych zadań zleconych ustawami w 2006 roku</t>
  </si>
  <si>
    <t xml:space="preserve">              Dochody i wydatki w 2006 r.,związane z realizacją zadań wspólnych realizowanych w drodze </t>
  </si>
  <si>
    <t>Łączne nakłady finansowe</t>
  </si>
  <si>
    <t>Rok budżetowy 2006</t>
  </si>
  <si>
    <t>środki pochodzące z innych źr</t>
  </si>
  <si>
    <t>środki wymienione w art.. 3 ust. 1 pkt 2 i 2a u.f.p.</t>
  </si>
  <si>
    <t>Rok 2008</t>
  </si>
  <si>
    <t>Plan na 2006 r.</t>
  </si>
  <si>
    <t xml:space="preserve">                    Pozostałe wydatki majatkowe na 2006 rok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</si>
  <si>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</si>
  <si>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</si>
  <si>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</si>
  <si>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</si>
  <si>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</si>
  <si>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</si>
  <si>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</si>
  <si>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</si>
  <si>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</si>
  <si>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</si>
  <si>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</si>
  <si>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</si>
  <si>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</si>
  <si>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</si>
  <si>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</si>
  <si>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</si>
  <si>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</si>
  <si>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</si>
  <si>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</si>
  <si>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</si>
  <si>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</si>
  <si>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VIII</t>
  </si>
  <si>
    <t>Gospodarki Zasobem Geodezyjnym i Kartograficznym</t>
  </si>
  <si>
    <t>§ 0830 - Wpływy z usług</t>
  </si>
  <si>
    <t>§ 2960 - Przelewy redystrybucyjne z Wojewódzkeigo Funduszu</t>
  </si>
  <si>
    <t>§ 2960 - Przelewy redystrybucyjne na fundusz centralny</t>
  </si>
  <si>
    <t>§ 2960 - Przelewy redystrybucyjne na fundusz wojewódzki</t>
  </si>
  <si>
    <t>§ 4270 - Zakup usług remontowych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</si>
  <si>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</si>
  <si>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</si>
  <si>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</si>
  <si>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</si>
  <si>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</si>
  <si>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</si>
  <si>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</si>
  <si>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</si>
  <si>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</si>
  <si>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</si>
  <si>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</si>
  <si>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</si>
  <si>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</si>
  <si>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</si>
  <si>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</si>
  <si>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</si>
  <si>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Nazwa jednostki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</si>
  <si>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</si>
  <si>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</si>
  <si>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</si>
  <si>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</si>
  <si>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</si>
  <si>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</si>
  <si>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</si>
  <si>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</si>
  <si>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</si>
  <si>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</si>
  <si>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</si>
  <si>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</si>
  <si>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</si>
  <si>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</si>
  <si>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</si>
  <si>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</si>
  <si>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</si>
  <si>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</si>
  <si>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</si>
  <si>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</si>
  <si>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</si>
  <si>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</si>
  <si>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</si>
  <si>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</si>
  <si>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</si>
  <si>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</si>
  <si>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</si>
  <si>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</si>
  <si>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</si>
  <si>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</si>
  <si>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</si>
  <si>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</si>
  <si>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</si>
  <si>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</si>
  <si>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</si>
  <si>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</si>
  <si>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</si>
  <si>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</si>
  <si>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</si>
  <si>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</si>
  <si>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</si>
  <si>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</si>
  <si>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</si>
  <si>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</si>
  <si>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</si>
  <si>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</si>
  <si>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</si>
  <si>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</si>
  <si>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Nazwa zadania</t>
  </si>
  <si>
    <t>§ 2960 - Przelewy redystrybucyjne</t>
  </si>
  <si>
    <t>w złotych</t>
  </si>
  <si>
    <t>a) wydatki bieżące, w tym: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</si>
  <si>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</si>
  <si>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</si>
  <si>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</si>
  <si>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</si>
  <si>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</si>
  <si>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</si>
  <si>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</si>
  <si>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</si>
  <si>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</si>
  <si>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</si>
  <si>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</si>
  <si>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</si>
  <si>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</si>
  <si>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</si>
  <si>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</si>
  <si>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</si>
  <si>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</si>
  <si>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</si>
  <si>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</si>
  <si>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</si>
  <si>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</si>
  <si>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</si>
  <si>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</si>
  <si>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</si>
  <si>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</si>
  <si>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Specjalny Ośrodek Szkolno-Wychowawczy w Iławie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</si>
  <si>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</si>
  <si>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</si>
  <si>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</si>
  <si>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</si>
  <si>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</si>
  <si>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</si>
  <si>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</si>
  <si>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</si>
  <si>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</si>
  <si>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</si>
  <si>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</si>
  <si>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</si>
  <si>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</si>
  <si>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</si>
  <si>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</si>
  <si>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</si>
  <si>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</si>
  <si>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</si>
  <si>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</si>
  <si>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</si>
  <si>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</si>
  <si>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TRANSPORT I ŁĄCZNOŚĆ</t>
  </si>
  <si>
    <t>60014</t>
  </si>
  <si>
    <t>Drogi publiczne powiatowe</t>
  </si>
  <si>
    <t>0920</t>
  </si>
  <si>
    <t>Pozostałe odsetki</t>
  </si>
  <si>
    <t>Środki na dofinansowanie inwestycji pozyskane z innych źródeł</t>
  </si>
  <si>
    <t>6298</t>
  </si>
  <si>
    <t>700</t>
  </si>
  <si>
    <t>GOSPODARKA MIESZKANIOWA</t>
  </si>
  <si>
    <t>70005</t>
  </si>
  <si>
    <t>Gospodarka gruntami i nieruchomościami</t>
  </si>
  <si>
    <t>0830</t>
  </si>
  <si>
    <t>Wpływy z usług</t>
  </si>
  <si>
    <t>0870</t>
  </si>
  <si>
    <t xml:space="preserve">Wpływy ze sprzedaży składników majątkowych 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</si>
  <si>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</si>
  <si>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</si>
  <si>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</si>
  <si>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</si>
  <si>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</si>
  <si>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</si>
  <si>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</si>
  <si>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</si>
  <si>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</si>
  <si>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</si>
  <si>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</si>
  <si>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</si>
  <si>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</si>
  <si>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</si>
  <si>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</si>
  <si>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</si>
  <si>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</si>
  <si>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0690</t>
  </si>
  <si>
    <t>Wpływy z różnych opłat</t>
  </si>
  <si>
    <t>2130</t>
  </si>
  <si>
    <t>Dotacje celowe otrzymane z budżetu państwa na realizację bieżących zadań własnych powiatu</t>
  </si>
  <si>
    <t>2360</t>
  </si>
  <si>
    <t>Dochody jednostek samorządu terytorialnego związane z realizacją zadań z zakresu administracji rządowej oraz innych zadań zleconych ustawami</t>
  </si>
  <si>
    <t>75045</t>
  </si>
  <si>
    <t>Komisje Poborowe</t>
  </si>
  <si>
    <t>75097</t>
  </si>
  <si>
    <t>754</t>
  </si>
  <si>
    <t>BEZPIECZEŃSTWO PUBLICZNE I OCHRONA PRZECIWPOŻAROWA</t>
  </si>
  <si>
    <t>75411</t>
  </si>
  <si>
    <t>Komendy Powiatowe Państowej Straży Pożarnej</t>
  </si>
  <si>
    <t>2310</t>
  </si>
  <si>
    <t>75414</t>
  </si>
  <si>
    <t>Obrona cywilna</t>
  </si>
  <si>
    <t>756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</si>
  <si>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</si>
  <si>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</si>
  <si>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</si>
  <si>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</si>
  <si>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</si>
  <si>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</si>
  <si>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</si>
  <si>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</si>
  <si>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</si>
  <si>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</si>
  <si>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</si>
  <si>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</si>
  <si>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</si>
  <si>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</si>
  <si>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</si>
  <si>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</si>
  <si>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</si>
  <si>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</si>
  <si>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</si>
  <si>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I WYCHOWANIE</t>
  </si>
  <si>
    <t>80120</t>
  </si>
  <si>
    <t>Licea Ogólnokształcące</t>
  </si>
  <si>
    <t>0750</t>
  </si>
  <si>
    <t>Dochody z najmu i dzierżawy składników majątkowych Skarbu Państwa lub jednostek samorządu terytorialnego oraz innych umów o podobnym charakterze</t>
  </si>
  <si>
    <t>80130</t>
  </si>
  <si>
    <t>Szkoły zawodowe</t>
  </si>
  <si>
    <t>Dotacje celowe otrzymane z gminy za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</si>
  <si>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</si>
  <si>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</si>
  <si>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80195</t>
  </si>
  <si>
    <t>851</t>
  </si>
  <si>
    <t>OCHRONA ZDROWIA</t>
  </si>
  <si>
    <t>85154</t>
  </si>
  <si>
    <t>Przeciwdziałanie alkoholizmowi</t>
  </si>
  <si>
    <t>2330</t>
  </si>
  <si>
    <t>85156</t>
  </si>
  <si>
    <t>Składki na ubezpieczenie zdrowotne oraz świadczenia dla osób nie objętych obowiązkiem ubezpieczenia zdrowotnego</t>
  </si>
  <si>
    <t>852</t>
  </si>
  <si>
    <t>POMOC  SPOŁECZNA</t>
  </si>
  <si>
    <t>85201</t>
  </si>
  <si>
    <t>Placówki opiekuńczo-wychowawcze</t>
  </si>
  <si>
    <t>85202</t>
  </si>
  <si>
    <t>Domy Pomocy Społecznej</t>
  </si>
  <si>
    <t>85203</t>
  </si>
  <si>
    <t>Ośrodki wsparcia</t>
  </si>
  <si>
    <t>85204</t>
  </si>
  <si>
    <t>Rodziny zastępcze</t>
  </si>
  <si>
    <t>85212</t>
  </si>
  <si>
    <t>85218</t>
  </si>
  <si>
    <t>Powiatowe Centra Pomocy Rodzinie</t>
  </si>
  <si>
    <t>Pozostała działalność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</si>
  <si>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</si>
  <si>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</si>
  <si>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</si>
  <si>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</si>
  <si>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</si>
  <si>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</si>
  <si>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</si>
  <si>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85415</t>
  </si>
  <si>
    <t>Pomoc materialna dla uczniów</t>
  </si>
  <si>
    <t>85417</t>
  </si>
  <si>
    <t>Szkolne Schronisko Młodzieżowe</t>
  </si>
  <si>
    <t xml:space="preserve">                   DOCHODY - OGÓŁEM</t>
  </si>
  <si>
    <r>
      <t xml:space="preserve">                   </t>
    </r>
    <r>
      <rPr>
        <b/>
        <sz val="11"/>
        <rFont val="Arial CE"/>
        <family val="2"/>
      </rPr>
      <t>w tym:</t>
    </r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</si>
  <si>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</si>
  <si>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</si>
  <si>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DOCHODY OD OSÓB PRAWNYCH, OD OSÓB FIZYCZNYCH I OD INNYCH JEDNOSTEK NIEPOSIADAJĄCYCH OSOBOWOŚCI PRAWWNEJ ORAZ WYDATKI ZWIĄZANE Z ICH POBOREM</t>
  </si>
  <si>
    <t>Dotacje celowe otrzymane od sam.wojewódzkiego na zadania bieżące realizowane na podstawie (umów) porozumień między j.s.t.</t>
  </si>
  <si>
    <t>Prace geodezyjnourządzeniowe na potrzeby rolnictwa</t>
  </si>
  <si>
    <t>1. Wydatki bieżące</t>
  </si>
  <si>
    <t xml:space="preserve">       wynagrodzenie i pochodne</t>
  </si>
  <si>
    <t>02002</t>
  </si>
  <si>
    <t>Nadzór nad gospodarką leśną</t>
  </si>
  <si>
    <t>1. Wydatki bieżące, w tym:</t>
  </si>
  <si>
    <t xml:space="preserve">      wynagrodzenia i pochodne</t>
  </si>
  <si>
    <t xml:space="preserve">      dotacje</t>
  </si>
  <si>
    <t>2. Wydatki inwestycyjne</t>
  </si>
  <si>
    <t>71035</t>
  </si>
  <si>
    <t>Cmentarze</t>
  </si>
  <si>
    <t xml:space="preserve">         wynagrodzenia i pochodne</t>
  </si>
  <si>
    <t>75018</t>
  </si>
  <si>
    <t>Urzędy marszałkowskie</t>
  </si>
  <si>
    <t>1. Wydatki bieżące , w tym  :</t>
  </si>
  <si>
    <t>75019</t>
  </si>
  <si>
    <t>Rady Powiatów</t>
  </si>
  <si>
    <t>75095</t>
  </si>
  <si>
    <t>Gospodarstwa Pomocnicze</t>
  </si>
  <si>
    <t xml:space="preserve">Komendy Powiatowe Państwowej Straży Pożarnej </t>
  </si>
  <si>
    <t>75415</t>
  </si>
  <si>
    <t>Zadania ratownictwa górskiego i wodnego</t>
  </si>
  <si>
    <t>757</t>
  </si>
  <si>
    <t>OBSŁUGA DŁUGU PUBLICZNEGO</t>
  </si>
  <si>
    <t>75702</t>
  </si>
  <si>
    <t>Obsługa papierów wartościowych i kredytów j.s.t.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</si>
  <si>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</si>
  <si>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</si>
  <si>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</si>
  <si>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</si>
  <si>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</si>
  <si>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</si>
  <si>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80110</t>
  </si>
  <si>
    <t>Gimnazja</t>
  </si>
  <si>
    <t>80111</t>
  </si>
  <si>
    <t>Gimnazja specjalne</t>
  </si>
  <si>
    <t>Licea ogólnokształcące</t>
  </si>
  <si>
    <t xml:space="preserve">         dotacje</t>
  </si>
  <si>
    <t>80123</t>
  </si>
  <si>
    <t>Licea profilowane</t>
  </si>
  <si>
    <t>80134</t>
  </si>
  <si>
    <t>Szkoły zawodowe specjalne</t>
  </si>
  <si>
    <t>Centra kształcenia ustawicznego i praktycznego oraz ośrodki dokształacania zawodowego</t>
  </si>
  <si>
    <t>80146</t>
  </si>
  <si>
    <t>Dokształcanie i doskonalenie nauczycieli</t>
  </si>
  <si>
    <t>85111</t>
  </si>
  <si>
    <t xml:space="preserve">Szpitale ogólne </t>
  </si>
  <si>
    <t xml:space="preserve">1. Wydatki bieżące, </t>
  </si>
  <si>
    <t>Składki na ubezpieczenia zdrowotnego oraz świadczenia dla osób nie objętych obowiązkiem ubezpieczenia zdrowotnego</t>
  </si>
  <si>
    <t>85195</t>
  </si>
  <si>
    <t>POMOC SPOŁECZNA</t>
  </si>
  <si>
    <t>Placówki opiekuńczowychowawcze</t>
  </si>
  <si>
    <t xml:space="preserve">Powiatowe Centra Pomocy Rodzinie </t>
  </si>
  <si>
    <t>85220</t>
  </si>
  <si>
    <t>853</t>
  </si>
  <si>
    <t>85401</t>
  </si>
  <si>
    <t>Świetlice szkolne</t>
  </si>
  <si>
    <t>Specjalne Ośrodki SzkolnoWychowawcze</t>
  </si>
  <si>
    <t>85406</t>
  </si>
  <si>
    <t>Poradnie psychologicznopedagogiczne oraz inne poradnie specjalistyczne</t>
  </si>
  <si>
    <t>85407</t>
  </si>
  <si>
    <t>Placówki wychowania pozaszkolnego</t>
  </si>
  <si>
    <t>85410</t>
  </si>
  <si>
    <t>Internaty i bursy szkolne</t>
  </si>
  <si>
    <t>Szkolne schroniska młodzieżowe</t>
  </si>
  <si>
    <t>85446</t>
  </si>
  <si>
    <t>85495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</si>
  <si>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</si>
  <si>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</si>
  <si>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</si>
  <si>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</si>
  <si>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</si>
  <si>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</si>
  <si>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</si>
  <si>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92695</t>
  </si>
  <si>
    <t>WYDATKI OGÓŁEM</t>
  </si>
  <si>
    <t>Wydatki bieżące, w tym:</t>
  </si>
  <si>
    <t>Wydatki inwestycyjne, w tym:</t>
  </si>
  <si>
    <t xml:space="preserve">      na obsługę długu j.s.t.</t>
  </si>
  <si>
    <t xml:space="preserve">      z tytułu poręczeń i gwarancji udzielonych przez j.s.t.</t>
  </si>
  <si>
    <t>Świadczenia rodzinne oraz skłądki na ubezpieczenia emerytalne i rentowe z ubezpieczenia społecznego</t>
  </si>
  <si>
    <t>Jednostki specjalistycznego poradnictwa, mieszkania chronione i ośrodki interwencji kryzysowej</t>
  </si>
  <si>
    <t xml:space="preserve">         na obsługę długu j.s.t.</t>
  </si>
  <si>
    <t xml:space="preserve">         z tytułu poręczeń i gwarancji </t>
  </si>
  <si>
    <t xml:space="preserve">         udzielonych przez j.s.t.</t>
  </si>
  <si>
    <t xml:space="preserve">                           z tego:</t>
  </si>
  <si>
    <t xml:space="preserve">         wydatki inwestycyjne</t>
  </si>
  <si>
    <t>b) wydatki majatkowe, w tym:</t>
  </si>
  <si>
    <t xml:space="preserve">                     Załącznik Nr 1</t>
  </si>
  <si>
    <t xml:space="preserve">  Dochody i wydatki związane z realizacją zadań z zakresu administracji rządowej </t>
  </si>
  <si>
    <t>Dochody przyznane z tyt. dotacji na realizację zadań z zakresu adm. rząd</t>
  </si>
  <si>
    <t>Dochody do przekazania do budżetu państwa lub budżetu j.s.t.</t>
  </si>
  <si>
    <t>Składki na ubezpieczenia społeczne</t>
  </si>
  <si>
    <t>Składki na Fundusz Pracy</t>
  </si>
  <si>
    <t>Wynagrodzenia bezosobowe</t>
  </si>
  <si>
    <t>Zakup usług pozostałych</t>
  </si>
  <si>
    <t>4300</t>
  </si>
  <si>
    <t>4430</t>
  </si>
  <si>
    <t>Różne opłaty i składki</t>
  </si>
  <si>
    <t>2350</t>
  </si>
  <si>
    <t>Dochody budżetu państwa związane z realizacja zadań zlecanych jednostkom samorządu terytorialnego</t>
  </si>
  <si>
    <t>Dotacje celowe przekazane z budżetu państwa na inwestycje i zakupy inwestycyjne z zakresu administracji rządowej oraz inne zadania zlecone ustawami realizowane przez powiat</t>
  </si>
  <si>
    <t>4010</t>
  </si>
  <si>
    <t>Wynagrodzenia osobowe pracowników</t>
  </si>
  <si>
    <t>4020</t>
  </si>
  <si>
    <t xml:space="preserve">Kredyty zaciągnięte w danym roku budżetowym, </t>
  </si>
  <si>
    <t>Rozbudowa infrastruktury szrokopasmowego dostępu do internetu na terenie gmin powiatu iławskiego</t>
  </si>
  <si>
    <t xml:space="preserve">                     Załącznik Nr 14</t>
  </si>
  <si>
    <t xml:space="preserve">           IŁAWA -     52.764,-             (w tym chodniki 12.000,- zł)</t>
  </si>
  <si>
    <t xml:space="preserve">           SUSZ -       188.595,- </t>
  </si>
  <si>
    <t xml:space="preserve">           KISIELICE - 96.983,- </t>
  </si>
  <si>
    <t xml:space="preserve">                                      do Uchwały Rady Powiatu Nr XXXIV/284 /2005</t>
  </si>
  <si>
    <t xml:space="preserve">                                      do Uchwały Rady Powiatu Nr XXXIV/ 284 /2005</t>
  </si>
  <si>
    <t xml:space="preserve">                                      do Uchwały Rady Powiatu Nr XXXIV/  284 /2005</t>
  </si>
  <si>
    <t xml:space="preserve">                                      do Uchwały Rady Powiatu Nr XXXIV/284/2005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</si>
</sst>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4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4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sz val="10"/>
      <color indexed="8"/>
      <name val="MS Sans Serif"/>
      <family val="0"/>
    </font>
    <font>
      <b/>
      <u val="single"/>
      <sz val="12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u val="single"/>
      <sz val="10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color indexed="9"/>
      <name val="Arial CE"/>
      <family val="2"/>
    </font>
    <font>
      <b/>
      <sz val="13"/>
      <color indexed="9"/>
      <name val="Arial CE"/>
      <family val="2"/>
    </font>
    <font>
      <b/>
      <sz val="11"/>
      <color indexed="9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9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9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 inden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vertical="center"/>
    </xf>
    <xf numFmtId="0" fontId="5" fillId="0" borderId="0" xfId="0" applyFont="1" applyAlignment="1">
      <alignment/>
    </xf>
    <xf numFmtId="49" fontId="13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3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" fontId="5" fillId="0" borderId="2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4" fontId="1" fillId="0" borderId="22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13" fillId="0" borderId="21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9" fontId="3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" fontId="5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9" fillId="0" borderId="2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31" xfId="0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 wrapText="1"/>
    </xf>
    <xf numFmtId="49" fontId="5" fillId="2" borderId="32" xfId="0" applyNumberFormat="1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right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" fontId="0" fillId="0" borderId="21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9" fontId="5" fillId="2" borderId="34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16" fillId="0" borderId="31" xfId="0" applyNumberFormat="1" applyFont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top" wrapText="1"/>
    </xf>
    <xf numFmtId="4" fontId="16" fillId="0" borderId="22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top" wrapText="1"/>
    </xf>
    <xf numFmtId="4" fontId="6" fillId="0" borderId="3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5" fillId="2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3" fillId="0" borderId="0" xfId="0" applyFont="1" applyAlignment="1">
      <alignment horizontal="left"/>
    </xf>
    <xf numFmtId="4" fontId="30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1" fillId="0" borderId="0" xfId="0" applyFont="1" applyAlignment="1">
      <alignment horizontal="left"/>
    </xf>
    <xf numFmtId="0" fontId="31" fillId="0" borderId="0" xfId="0" applyFont="1" applyAlignment="1">
      <alignment vertical="top"/>
    </xf>
    <xf numFmtId="0" fontId="27" fillId="0" borderId="0" xfId="0" applyFont="1" applyAlignment="1">
      <alignment/>
    </xf>
    <xf numFmtId="0" fontId="12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4" fontId="0" fillId="2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1" xfId="0" applyFill="1" applyBorder="1" applyAlignment="1">
      <alignment vertical="center" wrapText="1"/>
    </xf>
    <xf numFmtId="4" fontId="0" fillId="2" borderId="21" xfId="0" applyNumberForma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33" fillId="2" borderId="22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/>
    </xf>
    <xf numFmtId="3" fontId="34" fillId="0" borderId="2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3" fontId="35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3" fontId="27" fillId="0" borderId="21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3" fontId="3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5" fillId="0" borderId="21" xfId="0" applyNumberFormat="1" applyFont="1" applyFill="1" applyBorder="1" applyAlignment="1">
      <alignment horizontal="right"/>
    </xf>
    <xf numFmtId="10" fontId="35" fillId="0" borderId="21" xfId="21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1" xfId="0" applyFont="1" applyFill="1" applyBorder="1" applyAlignment="1">
      <alignment/>
    </xf>
    <xf numFmtId="0" fontId="1" fillId="0" borderId="4" xfId="0" applyFont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24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21" xfId="0" applyFont="1" applyFill="1" applyBorder="1" applyAlignment="1">
      <alignment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6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5" fillId="0" borderId="40" xfId="18" applyNumberFormat="1" applyFont="1" applyFill="1" applyBorder="1" applyAlignment="1">
      <alignment horizontal="right" wrapText="1"/>
      <protection/>
    </xf>
    <xf numFmtId="4" fontId="5" fillId="0" borderId="18" xfId="0" applyNumberFormat="1" applyFont="1" applyFill="1" applyBorder="1" applyAlignment="1">
      <alignment/>
    </xf>
    <xf numFmtId="4" fontId="5" fillId="0" borderId="21" xfId="21" applyNumberFormat="1" applyFont="1" applyFill="1" applyBorder="1" applyAlignment="1">
      <alignment horizontal="center"/>
    </xf>
    <xf numFmtId="3" fontId="33" fillId="0" borderId="21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0" fillId="0" borderId="36" xfId="0" applyNumberFormat="1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/>
    </xf>
    <xf numFmtId="4" fontId="1" fillId="0" borderId="21" xfId="19" applyNumberFormat="1" applyFont="1" applyFill="1" applyBorder="1" applyAlignment="1">
      <alignment horizontal="right" vertical="center" wrapText="1"/>
      <protection/>
    </xf>
    <xf numFmtId="4" fontId="1" fillId="0" borderId="36" xfId="19" applyNumberFormat="1" applyFont="1" applyFill="1" applyBorder="1" applyAlignment="1">
      <alignment horizontal="right" vertical="center" wrapText="1"/>
      <protection/>
    </xf>
    <xf numFmtId="0" fontId="12" fillId="0" borderId="21" xfId="0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left"/>
    </xf>
    <xf numFmtId="4" fontId="36" fillId="0" borderId="21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Fill="1" applyBorder="1" applyAlignment="1">
      <alignment horizontal="right" vertical="center"/>
    </xf>
    <xf numFmtId="4" fontId="36" fillId="0" borderId="21" xfId="0" applyNumberFormat="1" applyFont="1" applyFill="1" applyBorder="1" applyAlignment="1">
      <alignment horizontal="right" vertical="center" wrapText="1"/>
    </xf>
    <xf numFmtId="49" fontId="12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13" fillId="0" borderId="35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37" fillId="0" borderId="3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36" fillId="0" borderId="31" xfId="0" applyNumberFormat="1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4" fontId="36" fillId="0" borderId="2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37" fillId="0" borderId="36" xfId="0" applyNumberFormat="1" applyFont="1" applyBorder="1" applyAlignment="1">
      <alignment horizontal="center" vertical="center" wrapText="1"/>
    </xf>
    <xf numFmtId="4" fontId="36" fillId="0" borderId="36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5" fillId="2" borderId="39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1" xfId="17" applyNumberFormat="1" applyFont="1" applyFill="1" applyBorder="1" applyAlignment="1">
      <alignment horizontal="right" wrapText="1"/>
      <protection/>
    </xf>
    <xf numFmtId="4" fontId="8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vertical="center" wrapText="1"/>
    </xf>
    <xf numFmtId="0" fontId="41" fillId="0" borderId="0" xfId="20" applyFont="1">
      <alignment/>
      <protection/>
    </xf>
    <xf numFmtId="0" fontId="41" fillId="0" borderId="21" xfId="20" applyFont="1" applyBorder="1" applyAlignment="1">
      <alignment horizontal="center" vertical="center" wrapText="1"/>
      <protection/>
    </xf>
    <xf numFmtId="0" fontId="42" fillId="0" borderId="21" xfId="20" applyFont="1" applyBorder="1" applyAlignment="1">
      <alignment horizontal="center" vertical="center"/>
      <protection/>
    </xf>
    <xf numFmtId="0" fontId="41" fillId="0" borderId="21" xfId="20" applyFont="1" applyBorder="1">
      <alignment/>
      <protection/>
    </xf>
    <xf numFmtId="3" fontId="41" fillId="0" borderId="21" xfId="20" applyNumberFormat="1" applyFont="1" applyBorder="1">
      <alignment/>
      <protection/>
    </xf>
    <xf numFmtId="3" fontId="0" fillId="0" borderId="36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3" fontId="43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10" fontId="5" fillId="0" borderId="21" xfId="21" applyNumberFormat="1" applyFont="1" applyFill="1" applyBorder="1" applyAlignment="1">
      <alignment vertical="center"/>
    </xf>
    <xf numFmtId="10" fontId="34" fillId="0" borderId="21" xfId="2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5" fillId="0" borderId="21" xfId="0" applyNumberFormat="1" applyFont="1" applyBorder="1" applyAlignment="1">
      <alignment vertical="center"/>
    </xf>
    <xf numFmtId="3" fontId="35" fillId="0" borderId="2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3" fontId="9" fillId="0" borderId="44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4" fontId="7" fillId="0" borderId="51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4" fontId="7" fillId="0" borderId="57" xfId="0" applyNumberFormat="1" applyFont="1" applyBorder="1" applyAlignment="1">
      <alignment horizontal="right" vertical="center"/>
    </xf>
    <xf numFmtId="4" fontId="6" fillId="2" borderId="55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0" fillId="2" borderId="51" xfId="0" applyFill="1" applyBorder="1" applyAlignment="1">
      <alignment/>
    </xf>
    <xf numFmtId="4" fontId="4" fillId="2" borderId="26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8" fillId="0" borderId="44" xfId="0" applyFont="1" applyBorder="1" applyAlignment="1" quotePrefix="1">
      <alignment horizontal="left" vertical="center" indent="1"/>
    </xf>
    <xf numFmtId="0" fontId="8" fillId="0" borderId="48" xfId="0" applyFont="1" applyBorder="1" applyAlignment="1" quotePrefix="1">
      <alignment horizontal="left" vertical="center" indent="1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39" fillId="0" borderId="21" xfId="20" applyNumberFormat="1" applyFont="1" applyBorder="1">
      <alignment/>
      <protection/>
    </xf>
    <xf numFmtId="0" fontId="39" fillId="0" borderId="0" xfId="20" applyFont="1">
      <alignment/>
      <protection/>
    </xf>
    <xf numFmtId="0" fontId="42" fillId="0" borderId="21" xfId="20" applyFont="1" applyFill="1" applyBorder="1" applyAlignment="1">
      <alignment horizontal="center" vertical="center"/>
      <protection/>
    </xf>
    <xf numFmtId="0" fontId="39" fillId="0" borderId="21" xfId="20" applyFont="1" applyFill="1" applyBorder="1" applyAlignment="1">
      <alignment horizontal="center"/>
      <protection/>
    </xf>
    <xf numFmtId="0" fontId="39" fillId="0" borderId="21" xfId="20" applyFont="1" applyFill="1" applyBorder="1">
      <alignment/>
      <protection/>
    </xf>
    <xf numFmtId="0" fontId="41" fillId="0" borderId="21" xfId="20" applyFont="1" applyFill="1" applyBorder="1">
      <alignment/>
      <protection/>
    </xf>
    <xf numFmtId="0" fontId="39" fillId="0" borderId="21" xfId="20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2" xfId="0" applyFont="1" applyBorder="1" applyAlignment="1">
      <alignment wrapText="1"/>
    </xf>
    <xf numFmtId="0" fontId="5" fillId="0" borderId="13" xfId="0" applyFont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1" xfId="0" applyNumberFormat="1" applyBorder="1" applyAlignment="1">
      <alignment vertical="center" wrapText="1"/>
    </xf>
    <xf numFmtId="0" fontId="12" fillId="0" borderId="34" xfId="0" applyFont="1" applyBorder="1" applyAlignment="1">
      <alignment horizontal="lef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0" fontId="16" fillId="0" borderId="18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3" borderId="8" xfId="0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1"/>
    </xf>
    <xf numFmtId="0" fontId="1" fillId="0" borderId="4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20" fillId="0" borderId="0" xfId="0" applyFont="1" applyFill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6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4" fontId="8" fillId="0" borderId="5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6" fillId="0" borderId="2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16" fillId="0" borderId="32" xfId="0" applyFont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49" fontId="5" fillId="2" borderId="3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5" fillId="2" borderId="39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0" fillId="0" borderId="38" xfId="0" applyNumberForma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/>
    </xf>
    <xf numFmtId="49" fontId="0" fillId="0" borderId="38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38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49" fontId="0" fillId="0" borderId="37" xfId="0" applyNumberFormat="1" applyFill="1" applyBorder="1" applyAlignment="1">
      <alignment/>
    </xf>
    <xf numFmtId="49" fontId="0" fillId="0" borderId="59" xfId="0" applyNumberFormat="1" applyFill="1" applyBorder="1" applyAlignment="1">
      <alignment/>
    </xf>
    <xf numFmtId="49" fontId="0" fillId="0" borderId="3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" fontId="13" fillId="0" borderId="37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vertical="center" wrapText="1"/>
    </xf>
    <xf numFmtId="3" fontId="0" fillId="0" borderId="36" xfId="0" applyNumberForma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1" fillId="0" borderId="37" xfId="20" applyFont="1" applyBorder="1" applyAlignment="1">
      <alignment horizontal="left" vertical="center"/>
      <protection/>
    </xf>
    <xf numFmtId="0" fontId="0" fillId="0" borderId="5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" fontId="41" fillId="0" borderId="22" xfId="20" applyNumberFormat="1" applyFont="1" applyBorder="1" applyAlignment="1">
      <alignment horizontal="center"/>
      <protection/>
    </xf>
    <xf numFmtId="3" fontId="41" fillId="0" borderId="31" xfId="20" applyNumberFormat="1" applyFont="1" applyBorder="1" applyAlignment="1">
      <alignment horizontal="center"/>
      <protection/>
    </xf>
    <xf numFmtId="3" fontId="41" fillId="0" borderId="36" xfId="20" applyNumberFormat="1" applyFont="1" applyBorder="1" applyAlignment="1">
      <alignment horizontal="center"/>
      <protection/>
    </xf>
    <xf numFmtId="0" fontId="41" fillId="0" borderId="21" xfId="20" applyFont="1" applyFill="1" applyBorder="1" applyAlignment="1">
      <alignment horizontal="center" vertical="center"/>
      <protection/>
    </xf>
    <xf numFmtId="0" fontId="41" fillId="0" borderId="22" xfId="20" applyFont="1" applyBorder="1" applyAlignment="1">
      <alignment horizontal="center" vertical="center"/>
      <protection/>
    </xf>
    <xf numFmtId="0" fontId="41" fillId="0" borderId="31" xfId="20" applyFont="1" applyBorder="1" applyAlignment="1">
      <alignment horizontal="center" vertical="center"/>
      <protection/>
    </xf>
    <xf numFmtId="0" fontId="41" fillId="0" borderId="36" xfId="20" applyFont="1" applyBorder="1" applyAlignment="1">
      <alignment horizontal="center" vertical="center"/>
      <protection/>
    </xf>
    <xf numFmtId="0" fontId="41" fillId="0" borderId="22" xfId="20" applyFont="1" applyBorder="1" applyAlignment="1">
      <alignment horizontal="center" vertical="center" wrapText="1"/>
      <protection/>
    </xf>
    <xf numFmtId="0" fontId="41" fillId="0" borderId="31" xfId="20" applyFont="1" applyBorder="1" applyAlignment="1">
      <alignment horizontal="center" vertical="center" wrapText="1"/>
      <protection/>
    </xf>
    <xf numFmtId="0" fontId="41" fillId="0" borderId="36" xfId="20" applyFont="1" applyBorder="1" applyAlignment="1">
      <alignment horizontal="center" vertical="center" wrapText="1"/>
      <protection/>
    </xf>
    <xf numFmtId="0" fontId="41" fillId="0" borderId="21" xfId="20" applyFont="1" applyBorder="1" applyAlignment="1">
      <alignment horizontal="center"/>
      <protection/>
    </xf>
    <xf numFmtId="0" fontId="41" fillId="0" borderId="18" xfId="20" applyFont="1" applyBorder="1" applyAlignment="1">
      <alignment horizontal="center"/>
      <protection/>
    </xf>
    <xf numFmtId="0" fontId="41" fillId="0" borderId="13" xfId="20" applyFont="1" applyBorder="1" applyAlignment="1">
      <alignment horizontal="center"/>
      <protection/>
    </xf>
    <xf numFmtId="0" fontId="41" fillId="0" borderId="0" xfId="20" applyFont="1" applyAlignment="1">
      <alignment horizontal="left"/>
      <protection/>
    </xf>
    <xf numFmtId="0" fontId="41" fillId="0" borderId="18" xfId="20" applyFont="1" applyBorder="1" applyAlignment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9" fillId="0" borderId="18" xfId="20" applyFont="1" applyBorder="1" applyAlignment="1">
      <alignment horizontal="center"/>
      <protection/>
    </xf>
    <xf numFmtId="0" fontId="39" fillId="0" borderId="13" xfId="20" applyFont="1" applyBorder="1" applyAlignment="1">
      <alignment horizontal="center"/>
      <protection/>
    </xf>
    <xf numFmtId="0" fontId="41" fillId="0" borderId="22" xfId="20" applyFont="1" applyFill="1" applyBorder="1" applyAlignment="1">
      <alignment horizontal="center" vertical="center"/>
      <protection/>
    </xf>
    <xf numFmtId="0" fontId="41" fillId="0" borderId="31" xfId="20" applyFont="1" applyFill="1" applyBorder="1" applyAlignment="1">
      <alignment horizontal="center" vertical="center"/>
      <protection/>
    </xf>
    <xf numFmtId="0" fontId="41" fillId="0" borderId="36" xfId="20" applyFont="1" applyFill="1" applyBorder="1" applyAlignment="1">
      <alignment horizontal="center" vertical="center"/>
      <protection/>
    </xf>
    <xf numFmtId="0" fontId="41" fillId="0" borderId="21" xfId="20" applyFont="1" applyBorder="1" applyAlignment="1">
      <alignment horizontal="center" vertical="center"/>
      <protection/>
    </xf>
    <xf numFmtId="0" fontId="41" fillId="0" borderId="21" xfId="20" applyFont="1" applyBorder="1" applyAlignment="1">
      <alignment horizontal="center" vertical="center" wrapText="1"/>
      <protection/>
    </xf>
    <xf numFmtId="0" fontId="39" fillId="0" borderId="0" xfId="20" applyFont="1" applyAlignment="1">
      <alignment horizontal="center"/>
      <protection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" fontId="8" fillId="2" borderId="58" xfId="0" applyNumberFormat="1" applyFont="1" applyFill="1" applyBorder="1" applyAlignment="1">
      <alignment horizontal="right" vertical="center"/>
    </xf>
    <xf numFmtId="4" fontId="8" fillId="2" borderId="51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4" fontId="8" fillId="2" borderId="57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4" fontId="1" fillId="0" borderId="0" xfId="0" applyNumberFormat="1" applyFont="1" applyFill="1" applyAlignment="1">
      <alignment horizontal="right"/>
    </xf>
  </cellXfs>
  <cellStyles count="10">
    <cellStyle name="Normal" xfId="0"/>
    <cellStyle name="Comma" xfId="15"/>
    <cellStyle name="Comma [0]" xfId="16"/>
    <cellStyle name="Normalny_Arkusz1" xfId="17"/>
    <cellStyle name="Normalny_Arkusz2" xfId="18"/>
    <cellStyle name="Normalny_dochody" xfId="19"/>
    <cellStyle name="Normalny_zal_Szczecin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048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048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95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048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7048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53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123825</xdr:rowOff>
    </xdr:from>
    <xdr:to>
      <xdr:col>4</xdr:col>
      <xdr:colOff>0</xdr:colOff>
      <xdr:row>9</xdr:row>
      <xdr:rowOff>123825</xdr:rowOff>
    </xdr:to>
    <xdr:sp>
      <xdr:nvSpPr>
        <xdr:cNvPr id="199" name="Line 199"/>
        <xdr:cNvSpPr>
          <a:spLocks/>
        </xdr:cNvSpPr>
      </xdr:nvSpPr>
      <xdr:spPr>
        <a:xfrm>
          <a:off x="53816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123825</xdr:rowOff>
    </xdr:from>
    <xdr:to>
      <xdr:col>4</xdr:col>
      <xdr:colOff>0</xdr:colOff>
      <xdr:row>12</xdr:row>
      <xdr:rowOff>123825</xdr:rowOff>
    </xdr:to>
    <xdr:sp>
      <xdr:nvSpPr>
        <xdr:cNvPr id="203" name="Line 203"/>
        <xdr:cNvSpPr>
          <a:spLocks/>
        </xdr:cNvSpPr>
      </xdr:nvSpPr>
      <xdr:spPr>
        <a:xfrm>
          <a:off x="53816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sp>
      <xdr:nvSpPr>
        <xdr:cNvPr id="204" name="Line 204"/>
        <xdr:cNvSpPr>
          <a:spLocks/>
        </xdr:cNvSpPr>
      </xdr:nvSpPr>
      <xdr:spPr>
        <a:xfrm>
          <a:off x="538162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190500</xdr:rowOff>
    </xdr:from>
    <xdr:to>
      <xdr:col>4</xdr:col>
      <xdr:colOff>0</xdr:colOff>
      <xdr:row>15</xdr:row>
      <xdr:rowOff>190500</xdr:rowOff>
    </xdr:to>
    <xdr:sp>
      <xdr:nvSpPr>
        <xdr:cNvPr id="205" name="Line 205"/>
        <xdr:cNvSpPr>
          <a:spLocks/>
        </xdr:cNvSpPr>
      </xdr:nvSpPr>
      <xdr:spPr>
        <a:xfrm>
          <a:off x="5381625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06" name="Line 206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07" name="Line 207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190500</xdr:rowOff>
    </xdr:from>
    <xdr:to>
      <xdr:col>4</xdr:col>
      <xdr:colOff>0</xdr:colOff>
      <xdr:row>16</xdr:row>
      <xdr:rowOff>190500</xdr:rowOff>
    </xdr:to>
    <xdr:sp>
      <xdr:nvSpPr>
        <xdr:cNvPr id="208" name="Line 208"/>
        <xdr:cNvSpPr>
          <a:spLocks/>
        </xdr:cNvSpPr>
      </xdr:nvSpPr>
      <xdr:spPr>
        <a:xfrm>
          <a:off x="53816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190500</xdr:rowOff>
    </xdr:from>
    <xdr:to>
      <xdr:col>4</xdr:col>
      <xdr:colOff>0</xdr:colOff>
      <xdr:row>16</xdr:row>
      <xdr:rowOff>190500</xdr:rowOff>
    </xdr:to>
    <xdr:sp>
      <xdr:nvSpPr>
        <xdr:cNvPr id="209" name="Line 209"/>
        <xdr:cNvSpPr>
          <a:spLocks/>
        </xdr:cNvSpPr>
      </xdr:nvSpPr>
      <xdr:spPr>
        <a:xfrm>
          <a:off x="53816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133350</xdr:rowOff>
    </xdr:from>
    <xdr:to>
      <xdr:col>4</xdr:col>
      <xdr:colOff>0</xdr:colOff>
      <xdr:row>61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5381625" y="1670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1" name="Line 211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2" name="Line 212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3" name="Line 213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133350</xdr:rowOff>
    </xdr:from>
    <xdr:to>
      <xdr:col>4</xdr:col>
      <xdr:colOff>0</xdr:colOff>
      <xdr:row>62</xdr:row>
      <xdr:rowOff>133350</xdr:rowOff>
    </xdr:to>
    <xdr:sp>
      <xdr:nvSpPr>
        <xdr:cNvPr id="214" name="Line 214"/>
        <xdr:cNvSpPr>
          <a:spLocks/>
        </xdr:cNvSpPr>
      </xdr:nvSpPr>
      <xdr:spPr>
        <a:xfrm>
          <a:off x="5381625" y="168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133350</xdr:rowOff>
    </xdr:from>
    <xdr:to>
      <xdr:col>4</xdr:col>
      <xdr:colOff>0</xdr:colOff>
      <xdr:row>65</xdr:row>
      <xdr:rowOff>133350</xdr:rowOff>
    </xdr:to>
    <xdr:sp>
      <xdr:nvSpPr>
        <xdr:cNvPr id="215" name="Line 215"/>
        <xdr:cNvSpPr>
          <a:spLocks/>
        </xdr:cNvSpPr>
      </xdr:nvSpPr>
      <xdr:spPr>
        <a:xfrm>
          <a:off x="5381625" y="1800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16" name="Line 216"/>
        <xdr:cNvSpPr>
          <a:spLocks/>
        </xdr:cNvSpPr>
      </xdr:nvSpPr>
      <xdr:spPr>
        <a:xfrm>
          <a:off x="53816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142875</xdr:rowOff>
    </xdr:from>
    <xdr:to>
      <xdr:col>4</xdr:col>
      <xdr:colOff>0</xdr:colOff>
      <xdr:row>61</xdr:row>
      <xdr:rowOff>142875</xdr:rowOff>
    </xdr:to>
    <xdr:sp>
      <xdr:nvSpPr>
        <xdr:cNvPr id="217" name="Line 217"/>
        <xdr:cNvSpPr>
          <a:spLocks/>
        </xdr:cNvSpPr>
      </xdr:nvSpPr>
      <xdr:spPr>
        <a:xfrm>
          <a:off x="5381625" y="1671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8" name="Line 218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9" name="Line 219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0" name="Line 220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142875</xdr:rowOff>
    </xdr:from>
    <xdr:to>
      <xdr:col>4</xdr:col>
      <xdr:colOff>0</xdr:colOff>
      <xdr:row>62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5381625" y="1690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142875</xdr:rowOff>
    </xdr:from>
    <xdr:to>
      <xdr:col>4</xdr:col>
      <xdr:colOff>0</xdr:colOff>
      <xdr:row>65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5381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142875</xdr:rowOff>
    </xdr:from>
    <xdr:to>
      <xdr:col>4</xdr:col>
      <xdr:colOff>0</xdr:colOff>
      <xdr:row>78</xdr:row>
      <xdr:rowOff>142875</xdr:rowOff>
    </xdr:to>
    <xdr:sp>
      <xdr:nvSpPr>
        <xdr:cNvPr id="223" name="Line 223"/>
        <xdr:cNvSpPr>
          <a:spLocks/>
        </xdr:cNvSpPr>
      </xdr:nvSpPr>
      <xdr:spPr>
        <a:xfrm>
          <a:off x="5381625" y="2195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24" name="Line 224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25" name="Line 225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26" name="Line 226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152400</xdr:rowOff>
    </xdr:from>
    <xdr:to>
      <xdr:col>4</xdr:col>
      <xdr:colOff>0</xdr:colOff>
      <xdr:row>79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538162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152400</xdr:rowOff>
    </xdr:from>
    <xdr:to>
      <xdr:col>4</xdr:col>
      <xdr:colOff>0</xdr:colOff>
      <xdr:row>79</xdr:row>
      <xdr:rowOff>152400</xdr:rowOff>
    </xdr:to>
    <xdr:sp>
      <xdr:nvSpPr>
        <xdr:cNvPr id="228" name="Line 228"/>
        <xdr:cNvSpPr>
          <a:spLocks/>
        </xdr:cNvSpPr>
      </xdr:nvSpPr>
      <xdr:spPr>
        <a:xfrm>
          <a:off x="5381625" y="2215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381625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123825</xdr:rowOff>
    </xdr:from>
    <xdr:to>
      <xdr:col>4</xdr:col>
      <xdr:colOff>0</xdr:colOff>
      <xdr:row>100</xdr:row>
      <xdr:rowOff>123825</xdr:rowOff>
    </xdr:to>
    <xdr:sp>
      <xdr:nvSpPr>
        <xdr:cNvPr id="230" name="Line 230"/>
        <xdr:cNvSpPr>
          <a:spLocks/>
        </xdr:cNvSpPr>
      </xdr:nvSpPr>
      <xdr:spPr>
        <a:xfrm>
          <a:off x="5381625" y="2825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1" name="Line 231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2" name="Line 232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3" name="Line 233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4" name="Line 234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5" name="Line 235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6" name="Line 236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7" name="Line 237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38" name="Line 238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85725</xdr:rowOff>
    </xdr:from>
    <xdr:to>
      <xdr:col>4</xdr:col>
      <xdr:colOff>0</xdr:colOff>
      <xdr:row>103</xdr:row>
      <xdr:rowOff>85725</xdr:rowOff>
    </xdr:to>
    <xdr:sp>
      <xdr:nvSpPr>
        <xdr:cNvPr id="239" name="Line 239"/>
        <xdr:cNvSpPr>
          <a:spLocks/>
        </xdr:cNvSpPr>
      </xdr:nvSpPr>
      <xdr:spPr>
        <a:xfrm>
          <a:off x="5381625" y="287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40" name="Line 240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45" name="Line 245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46" name="Line 246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62" name="Line 262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63" name="Line 263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64" name="Line 264"/>
        <xdr:cNvSpPr>
          <a:spLocks/>
        </xdr:cNvSpPr>
      </xdr:nvSpPr>
      <xdr:spPr>
        <a:xfrm>
          <a:off x="53816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4</xdr:col>
      <xdr:colOff>0</xdr:colOff>
      <xdr:row>14</xdr:row>
      <xdr:rowOff>123825</xdr:rowOff>
    </xdr:to>
    <xdr:sp>
      <xdr:nvSpPr>
        <xdr:cNvPr id="265" name="Line 265"/>
        <xdr:cNvSpPr>
          <a:spLocks/>
        </xdr:cNvSpPr>
      </xdr:nvSpPr>
      <xdr:spPr>
        <a:xfrm>
          <a:off x="53816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>
      <xdr:nvSpPr>
        <xdr:cNvPr id="266" name="Line 266"/>
        <xdr:cNvSpPr>
          <a:spLocks/>
        </xdr:cNvSpPr>
      </xdr:nvSpPr>
      <xdr:spPr>
        <a:xfrm>
          <a:off x="53816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190500</xdr:rowOff>
    </xdr:from>
    <xdr:to>
      <xdr:col>4</xdr:col>
      <xdr:colOff>0</xdr:colOff>
      <xdr:row>17</xdr:row>
      <xdr:rowOff>190500</xdr:rowOff>
    </xdr:to>
    <xdr:sp>
      <xdr:nvSpPr>
        <xdr:cNvPr id="267" name="Line 267"/>
        <xdr:cNvSpPr>
          <a:spLocks/>
        </xdr:cNvSpPr>
      </xdr:nvSpPr>
      <xdr:spPr>
        <a:xfrm>
          <a:off x="53816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68" name="Line 268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69" name="Line 269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70" name="Line 270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71" name="Line 271"/>
        <xdr:cNvSpPr>
          <a:spLocks/>
        </xdr:cNvSpPr>
      </xdr:nvSpPr>
      <xdr:spPr>
        <a:xfrm>
          <a:off x="5381625" y="1676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133350</xdr:rowOff>
    </xdr:from>
    <xdr:to>
      <xdr:col>4</xdr:col>
      <xdr:colOff>0</xdr:colOff>
      <xdr:row>63</xdr:row>
      <xdr:rowOff>133350</xdr:rowOff>
    </xdr:to>
    <xdr:sp>
      <xdr:nvSpPr>
        <xdr:cNvPr id="272" name="Line 272"/>
        <xdr:cNvSpPr>
          <a:spLocks/>
        </xdr:cNvSpPr>
      </xdr:nvSpPr>
      <xdr:spPr>
        <a:xfrm>
          <a:off x="5381625" y="1708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142875</xdr:rowOff>
    </xdr:from>
    <xdr:to>
      <xdr:col>4</xdr:col>
      <xdr:colOff>0</xdr:colOff>
      <xdr:row>63</xdr:row>
      <xdr:rowOff>142875</xdr:rowOff>
    </xdr:to>
    <xdr:sp>
      <xdr:nvSpPr>
        <xdr:cNvPr id="273" name="Line 273"/>
        <xdr:cNvSpPr>
          <a:spLocks/>
        </xdr:cNvSpPr>
      </xdr:nvSpPr>
      <xdr:spPr>
        <a:xfrm>
          <a:off x="5381625" y="170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133350</xdr:rowOff>
    </xdr:from>
    <xdr:to>
      <xdr:col>4</xdr:col>
      <xdr:colOff>0</xdr:colOff>
      <xdr:row>66</xdr:row>
      <xdr:rowOff>133350</xdr:rowOff>
    </xdr:to>
    <xdr:sp>
      <xdr:nvSpPr>
        <xdr:cNvPr id="274" name="Line 274"/>
        <xdr:cNvSpPr>
          <a:spLocks/>
        </xdr:cNvSpPr>
      </xdr:nvSpPr>
      <xdr:spPr>
        <a:xfrm>
          <a:off x="5381625" y="1828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142875</xdr:rowOff>
    </xdr:from>
    <xdr:to>
      <xdr:col>4</xdr:col>
      <xdr:colOff>0</xdr:colOff>
      <xdr:row>66</xdr:row>
      <xdr:rowOff>142875</xdr:rowOff>
    </xdr:to>
    <xdr:sp>
      <xdr:nvSpPr>
        <xdr:cNvPr id="275" name="Line 275"/>
        <xdr:cNvSpPr>
          <a:spLocks/>
        </xdr:cNvSpPr>
      </xdr:nvSpPr>
      <xdr:spPr>
        <a:xfrm>
          <a:off x="5381625" y="1829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76" name="Line 276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77" name="Line 277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78" name="Line 278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114300</xdr:rowOff>
    </xdr:from>
    <xdr:to>
      <xdr:col>4</xdr:col>
      <xdr:colOff>0</xdr:colOff>
      <xdr:row>80</xdr:row>
      <xdr:rowOff>114300</xdr:rowOff>
    </xdr:to>
    <xdr:sp>
      <xdr:nvSpPr>
        <xdr:cNvPr id="279" name="Line 279"/>
        <xdr:cNvSpPr>
          <a:spLocks/>
        </xdr:cNvSpPr>
      </xdr:nvSpPr>
      <xdr:spPr>
        <a:xfrm>
          <a:off x="5381625" y="2230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114300</xdr:rowOff>
    </xdr:from>
    <xdr:to>
      <xdr:col>4</xdr:col>
      <xdr:colOff>0</xdr:colOff>
      <xdr:row>80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5381625" y="2230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381625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282" name="Line 282"/>
        <xdr:cNvSpPr>
          <a:spLocks/>
        </xdr:cNvSpPr>
      </xdr:nvSpPr>
      <xdr:spPr>
        <a:xfrm>
          <a:off x="5381625" y="2831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83" name="Line 283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84" name="Line 284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85" name="Line 285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86" name="Line 286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87" name="Line 287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114300</xdr:rowOff>
    </xdr:from>
    <xdr:to>
      <xdr:col>4</xdr:col>
      <xdr:colOff>0</xdr:colOff>
      <xdr:row>104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5381625" y="2900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93" name="Line 293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94" name="Line 294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295" name="Line 295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96" name="Line 296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299" name="Line 299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0" name="Line 300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3" name="Line 303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4" name="Line 304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07" name="Line 307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115</xdr:row>
      <xdr:rowOff>0</xdr:rowOff>
    </xdr:from>
    <xdr:to>
      <xdr:col>1</xdr:col>
      <xdr:colOff>466725</xdr:colOff>
      <xdr:row>115</xdr:row>
      <xdr:rowOff>0</xdr:rowOff>
    </xdr:to>
    <xdr:sp>
      <xdr:nvSpPr>
        <xdr:cNvPr id="308" name="Line 308"/>
        <xdr:cNvSpPr>
          <a:spLocks/>
        </xdr:cNvSpPr>
      </xdr:nvSpPr>
      <xdr:spPr>
        <a:xfrm>
          <a:off x="704850" y="31861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115</xdr:row>
      <xdr:rowOff>152400</xdr:rowOff>
    </xdr:from>
    <xdr:to>
      <xdr:col>1</xdr:col>
      <xdr:colOff>466725</xdr:colOff>
      <xdr:row>115</xdr:row>
      <xdr:rowOff>152400</xdr:rowOff>
    </xdr:to>
    <xdr:sp>
      <xdr:nvSpPr>
        <xdr:cNvPr id="309" name="Line 309"/>
        <xdr:cNvSpPr>
          <a:spLocks/>
        </xdr:cNvSpPr>
      </xdr:nvSpPr>
      <xdr:spPr>
        <a:xfrm>
          <a:off x="704850" y="320135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457200</xdr:colOff>
      <xdr:row>116</xdr:row>
      <xdr:rowOff>114300</xdr:rowOff>
    </xdr:to>
    <xdr:sp>
      <xdr:nvSpPr>
        <xdr:cNvPr id="310" name="Line 310"/>
        <xdr:cNvSpPr>
          <a:spLocks/>
        </xdr:cNvSpPr>
      </xdr:nvSpPr>
      <xdr:spPr>
        <a:xfrm>
          <a:off x="695325" y="32270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190500</xdr:rowOff>
    </xdr:from>
    <xdr:to>
      <xdr:col>4</xdr:col>
      <xdr:colOff>0</xdr:colOff>
      <xdr:row>22</xdr:row>
      <xdr:rowOff>190500</xdr:rowOff>
    </xdr:to>
    <xdr:sp>
      <xdr:nvSpPr>
        <xdr:cNvPr id="311" name="Line 311"/>
        <xdr:cNvSpPr>
          <a:spLocks/>
        </xdr:cNvSpPr>
      </xdr:nvSpPr>
      <xdr:spPr>
        <a:xfrm>
          <a:off x="538162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152400</xdr:rowOff>
    </xdr:from>
    <xdr:to>
      <xdr:col>4</xdr:col>
      <xdr:colOff>0</xdr:colOff>
      <xdr:row>23</xdr:row>
      <xdr:rowOff>152400</xdr:rowOff>
    </xdr:to>
    <xdr:sp>
      <xdr:nvSpPr>
        <xdr:cNvPr id="312" name="Line 312"/>
        <xdr:cNvSpPr>
          <a:spLocks/>
        </xdr:cNvSpPr>
      </xdr:nvSpPr>
      <xdr:spPr>
        <a:xfrm>
          <a:off x="538162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152400</xdr:rowOff>
    </xdr:from>
    <xdr:to>
      <xdr:col>4</xdr:col>
      <xdr:colOff>0</xdr:colOff>
      <xdr:row>23</xdr:row>
      <xdr:rowOff>152400</xdr:rowOff>
    </xdr:to>
    <xdr:sp>
      <xdr:nvSpPr>
        <xdr:cNvPr id="313" name="Line 313"/>
        <xdr:cNvSpPr>
          <a:spLocks/>
        </xdr:cNvSpPr>
      </xdr:nvSpPr>
      <xdr:spPr>
        <a:xfrm>
          <a:off x="5381625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200025</xdr:rowOff>
    </xdr:from>
    <xdr:to>
      <xdr:col>4</xdr:col>
      <xdr:colOff>0</xdr:colOff>
      <xdr:row>26</xdr:row>
      <xdr:rowOff>200025</xdr:rowOff>
    </xdr:to>
    <xdr:sp>
      <xdr:nvSpPr>
        <xdr:cNvPr id="314" name="Line 314"/>
        <xdr:cNvSpPr>
          <a:spLocks/>
        </xdr:cNvSpPr>
      </xdr:nvSpPr>
      <xdr:spPr>
        <a:xfrm>
          <a:off x="53816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200025</xdr:rowOff>
    </xdr:from>
    <xdr:to>
      <xdr:col>4</xdr:col>
      <xdr:colOff>0</xdr:colOff>
      <xdr:row>26</xdr:row>
      <xdr:rowOff>200025</xdr:rowOff>
    </xdr:to>
    <xdr:sp>
      <xdr:nvSpPr>
        <xdr:cNvPr id="315" name="Line 315"/>
        <xdr:cNvSpPr>
          <a:spLocks/>
        </xdr:cNvSpPr>
      </xdr:nvSpPr>
      <xdr:spPr>
        <a:xfrm>
          <a:off x="53816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27</xdr:row>
      <xdr:rowOff>190500</xdr:rowOff>
    </xdr:to>
    <xdr:sp>
      <xdr:nvSpPr>
        <xdr:cNvPr id="316" name="Line 316"/>
        <xdr:cNvSpPr>
          <a:spLocks/>
        </xdr:cNvSpPr>
      </xdr:nvSpPr>
      <xdr:spPr>
        <a:xfrm>
          <a:off x="5381625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152400</xdr:rowOff>
    </xdr:from>
    <xdr:to>
      <xdr:col>4</xdr:col>
      <xdr:colOff>0</xdr:colOff>
      <xdr:row>28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538162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152400</xdr:rowOff>
    </xdr:from>
    <xdr:to>
      <xdr:col>4</xdr:col>
      <xdr:colOff>0</xdr:colOff>
      <xdr:row>28</xdr:row>
      <xdr:rowOff>152400</xdr:rowOff>
    </xdr:to>
    <xdr:sp>
      <xdr:nvSpPr>
        <xdr:cNvPr id="318" name="Line 318"/>
        <xdr:cNvSpPr>
          <a:spLocks/>
        </xdr:cNvSpPr>
      </xdr:nvSpPr>
      <xdr:spPr>
        <a:xfrm>
          <a:off x="5381625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266700</xdr:rowOff>
    </xdr:from>
    <xdr:to>
      <xdr:col>4</xdr:col>
      <xdr:colOff>0</xdr:colOff>
      <xdr:row>31</xdr:row>
      <xdr:rowOff>266700</xdr:rowOff>
    </xdr:to>
    <xdr:sp>
      <xdr:nvSpPr>
        <xdr:cNvPr id="319" name="Line 319"/>
        <xdr:cNvSpPr>
          <a:spLocks/>
        </xdr:cNvSpPr>
      </xdr:nvSpPr>
      <xdr:spPr>
        <a:xfrm>
          <a:off x="5381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266700</xdr:rowOff>
    </xdr:from>
    <xdr:to>
      <xdr:col>4</xdr:col>
      <xdr:colOff>0</xdr:colOff>
      <xdr:row>31</xdr:row>
      <xdr:rowOff>266700</xdr:rowOff>
    </xdr:to>
    <xdr:sp>
      <xdr:nvSpPr>
        <xdr:cNvPr id="320" name="Line 320"/>
        <xdr:cNvSpPr>
          <a:spLocks/>
        </xdr:cNvSpPr>
      </xdr:nvSpPr>
      <xdr:spPr>
        <a:xfrm>
          <a:off x="5381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21" name="Line 321"/>
        <xdr:cNvSpPr>
          <a:spLocks/>
        </xdr:cNvSpPr>
      </xdr:nvSpPr>
      <xdr:spPr>
        <a:xfrm>
          <a:off x="538162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22" name="Line 322"/>
        <xdr:cNvSpPr>
          <a:spLocks/>
        </xdr:cNvSpPr>
      </xdr:nvSpPr>
      <xdr:spPr>
        <a:xfrm>
          <a:off x="538162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190500</xdr:rowOff>
    </xdr:from>
    <xdr:to>
      <xdr:col>4</xdr:col>
      <xdr:colOff>0</xdr:colOff>
      <xdr:row>34</xdr:row>
      <xdr:rowOff>190500</xdr:rowOff>
    </xdr:to>
    <xdr:sp>
      <xdr:nvSpPr>
        <xdr:cNvPr id="323" name="Line 323"/>
        <xdr:cNvSpPr>
          <a:spLocks/>
        </xdr:cNvSpPr>
      </xdr:nvSpPr>
      <xdr:spPr>
        <a:xfrm>
          <a:off x="5381625" y="935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>
      <xdr:nvSpPr>
        <xdr:cNvPr id="324" name="Line 324"/>
        <xdr:cNvSpPr>
          <a:spLocks/>
        </xdr:cNvSpPr>
      </xdr:nvSpPr>
      <xdr:spPr>
        <a:xfrm>
          <a:off x="538162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>
      <xdr:nvSpPr>
        <xdr:cNvPr id="325" name="Line 325"/>
        <xdr:cNvSpPr>
          <a:spLocks/>
        </xdr:cNvSpPr>
      </xdr:nvSpPr>
      <xdr:spPr>
        <a:xfrm>
          <a:off x="538162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190500</xdr:rowOff>
    </xdr:from>
    <xdr:to>
      <xdr:col>4</xdr:col>
      <xdr:colOff>0</xdr:colOff>
      <xdr:row>38</xdr:row>
      <xdr:rowOff>190500</xdr:rowOff>
    </xdr:to>
    <xdr:sp>
      <xdr:nvSpPr>
        <xdr:cNvPr id="326" name="Line 326"/>
        <xdr:cNvSpPr>
          <a:spLocks/>
        </xdr:cNvSpPr>
      </xdr:nvSpPr>
      <xdr:spPr>
        <a:xfrm>
          <a:off x="5381625" y="1038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190500</xdr:rowOff>
    </xdr:from>
    <xdr:to>
      <xdr:col>4</xdr:col>
      <xdr:colOff>0</xdr:colOff>
      <xdr:row>38</xdr:row>
      <xdr:rowOff>190500</xdr:rowOff>
    </xdr:to>
    <xdr:sp>
      <xdr:nvSpPr>
        <xdr:cNvPr id="327" name="Line 327"/>
        <xdr:cNvSpPr>
          <a:spLocks/>
        </xdr:cNvSpPr>
      </xdr:nvSpPr>
      <xdr:spPr>
        <a:xfrm>
          <a:off x="5381625" y="1038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28" name="Line 328"/>
        <xdr:cNvSpPr>
          <a:spLocks/>
        </xdr:cNvSpPr>
      </xdr:nvSpPr>
      <xdr:spPr>
        <a:xfrm>
          <a:off x="538162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29" name="Line 329"/>
        <xdr:cNvSpPr>
          <a:spLocks/>
        </xdr:cNvSpPr>
      </xdr:nvSpPr>
      <xdr:spPr>
        <a:xfrm>
          <a:off x="538162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228600</xdr:rowOff>
    </xdr:from>
    <xdr:to>
      <xdr:col>4</xdr:col>
      <xdr:colOff>0</xdr:colOff>
      <xdr:row>44</xdr:row>
      <xdr:rowOff>228600</xdr:rowOff>
    </xdr:to>
    <xdr:sp>
      <xdr:nvSpPr>
        <xdr:cNvPr id="330" name="Line 330"/>
        <xdr:cNvSpPr>
          <a:spLocks/>
        </xdr:cNvSpPr>
      </xdr:nvSpPr>
      <xdr:spPr>
        <a:xfrm>
          <a:off x="538162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381625" y="1224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332" name="Line 332"/>
        <xdr:cNvSpPr>
          <a:spLocks/>
        </xdr:cNvSpPr>
      </xdr:nvSpPr>
      <xdr:spPr>
        <a:xfrm>
          <a:off x="5381625" y="1224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190500</xdr:rowOff>
    </xdr:from>
    <xdr:to>
      <xdr:col>4</xdr:col>
      <xdr:colOff>0</xdr:colOff>
      <xdr:row>46</xdr:row>
      <xdr:rowOff>190500</xdr:rowOff>
    </xdr:to>
    <xdr:sp>
      <xdr:nvSpPr>
        <xdr:cNvPr id="333" name="Line 333"/>
        <xdr:cNvSpPr>
          <a:spLocks/>
        </xdr:cNvSpPr>
      </xdr:nvSpPr>
      <xdr:spPr>
        <a:xfrm>
          <a:off x="5381625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190500</xdr:rowOff>
    </xdr:from>
    <xdr:to>
      <xdr:col>4</xdr:col>
      <xdr:colOff>0</xdr:colOff>
      <xdr:row>46</xdr:row>
      <xdr:rowOff>190500</xdr:rowOff>
    </xdr:to>
    <xdr:sp>
      <xdr:nvSpPr>
        <xdr:cNvPr id="334" name="Line 334"/>
        <xdr:cNvSpPr>
          <a:spLocks/>
        </xdr:cNvSpPr>
      </xdr:nvSpPr>
      <xdr:spPr>
        <a:xfrm>
          <a:off x="5381625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5" name="Line 335"/>
        <xdr:cNvSpPr>
          <a:spLocks/>
        </xdr:cNvSpPr>
      </xdr:nvSpPr>
      <xdr:spPr>
        <a:xfrm>
          <a:off x="53816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36" name="Line 336"/>
        <xdr:cNvSpPr>
          <a:spLocks/>
        </xdr:cNvSpPr>
      </xdr:nvSpPr>
      <xdr:spPr>
        <a:xfrm>
          <a:off x="53816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123825</xdr:rowOff>
    </xdr:from>
    <xdr:to>
      <xdr:col>4</xdr:col>
      <xdr:colOff>0</xdr:colOff>
      <xdr:row>48</xdr:row>
      <xdr:rowOff>123825</xdr:rowOff>
    </xdr:to>
    <xdr:sp>
      <xdr:nvSpPr>
        <xdr:cNvPr id="337" name="Line 337"/>
        <xdr:cNvSpPr>
          <a:spLocks/>
        </xdr:cNvSpPr>
      </xdr:nvSpPr>
      <xdr:spPr>
        <a:xfrm>
          <a:off x="5381625" y="1321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180975</xdr:rowOff>
    </xdr:from>
    <xdr:to>
      <xdr:col>4</xdr:col>
      <xdr:colOff>0</xdr:colOff>
      <xdr:row>49</xdr:row>
      <xdr:rowOff>180975</xdr:rowOff>
    </xdr:to>
    <xdr:sp>
      <xdr:nvSpPr>
        <xdr:cNvPr id="338" name="Line 338"/>
        <xdr:cNvSpPr>
          <a:spLocks/>
        </xdr:cNvSpPr>
      </xdr:nvSpPr>
      <xdr:spPr>
        <a:xfrm>
          <a:off x="5381625" y="142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180975</xdr:rowOff>
    </xdr:from>
    <xdr:to>
      <xdr:col>4</xdr:col>
      <xdr:colOff>0</xdr:colOff>
      <xdr:row>49</xdr:row>
      <xdr:rowOff>180975</xdr:rowOff>
    </xdr:to>
    <xdr:sp>
      <xdr:nvSpPr>
        <xdr:cNvPr id="339" name="Line 339"/>
        <xdr:cNvSpPr>
          <a:spLocks/>
        </xdr:cNvSpPr>
      </xdr:nvSpPr>
      <xdr:spPr>
        <a:xfrm>
          <a:off x="5381625" y="142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85725</xdr:rowOff>
    </xdr:from>
    <xdr:to>
      <xdr:col>4</xdr:col>
      <xdr:colOff>0</xdr:colOff>
      <xdr:row>70</xdr:row>
      <xdr:rowOff>85725</xdr:rowOff>
    </xdr:to>
    <xdr:sp>
      <xdr:nvSpPr>
        <xdr:cNvPr id="340" name="Line 340"/>
        <xdr:cNvSpPr>
          <a:spLocks/>
        </xdr:cNvSpPr>
      </xdr:nvSpPr>
      <xdr:spPr>
        <a:xfrm>
          <a:off x="5381625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95250</xdr:rowOff>
    </xdr:from>
    <xdr:to>
      <xdr:col>4</xdr:col>
      <xdr:colOff>0</xdr:colOff>
      <xdr:row>70</xdr:row>
      <xdr:rowOff>95250</xdr:rowOff>
    </xdr:to>
    <xdr:sp>
      <xdr:nvSpPr>
        <xdr:cNvPr id="341" name="Line 341"/>
        <xdr:cNvSpPr>
          <a:spLocks/>
        </xdr:cNvSpPr>
      </xdr:nvSpPr>
      <xdr:spPr>
        <a:xfrm>
          <a:off x="5381625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133350</xdr:rowOff>
    </xdr:from>
    <xdr:to>
      <xdr:col>4</xdr:col>
      <xdr:colOff>0</xdr:colOff>
      <xdr:row>72</xdr:row>
      <xdr:rowOff>133350</xdr:rowOff>
    </xdr:to>
    <xdr:sp>
      <xdr:nvSpPr>
        <xdr:cNvPr id="342" name="Line 342"/>
        <xdr:cNvSpPr>
          <a:spLocks/>
        </xdr:cNvSpPr>
      </xdr:nvSpPr>
      <xdr:spPr>
        <a:xfrm>
          <a:off x="5381625" y="204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142875</xdr:rowOff>
    </xdr:from>
    <xdr:to>
      <xdr:col>4</xdr:col>
      <xdr:colOff>0</xdr:colOff>
      <xdr:row>72</xdr:row>
      <xdr:rowOff>142875</xdr:rowOff>
    </xdr:to>
    <xdr:sp>
      <xdr:nvSpPr>
        <xdr:cNvPr id="343" name="Line 343"/>
        <xdr:cNvSpPr>
          <a:spLocks/>
        </xdr:cNvSpPr>
      </xdr:nvSpPr>
      <xdr:spPr>
        <a:xfrm>
          <a:off x="538162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44" name="Line 344"/>
        <xdr:cNvSpPr>
          <a:spLocks/>
        </xdr:cNvSpPr>
      </xdr:nvSpPr>
      <xdr:spPr>
        <a:xfrm>
          <a:off x="5381625" y="1925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45" name="Line 345"/>
        <xdr:cNvSpPr>
          <a:spLocks/>
        </xdr:cNvSpPr>
      </xdr:nvSpPr>
      <xdr:spPr>
        <a:xfrm>
          <a:off x="5381625" y="1925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46" name="Line 346"/>
        <xdr:cNvSpPr>
          <a:spLocks/>
        </xdr:cNvSpPr>
      </xdr:nvSpPr>
      <xdr:spPr>
        <a:xfrm>
          <a:off x="5381625" y="1925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47" name="Line 347"/>
        <xdr:cNvSpPr>
          <a:spLocks/>
        </xdr:cNvSpPr>
      </xdr:nvSpPr>
      <xdr:spPr>
        <a:xfrm>
          <a:off x="5381625" y="1925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48" name="Line 348"/>
        <xdr:cNvSpPr>
          <a:spLocks/>
        </xdr:cNvSpPr>
      </xdr:nvSpPr>
      <xdr:spPr>
        <a:xfrm>
          <a:off x="5381625" y="2082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49" name="Line 349"/>
        <xdr:cNvSpPr>
          <a:spLocks/>
        </xdr:cNvSpPr>
      </xdr:nvSpPr>
      <xdr:spPr>
        <a:xfrm>
          <a:off x="5381625" y="2082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50" name="Line 350"/>
        <xdr:cNvSpPr>
          <a:spLocks/>
        </xdr:cNvSpPr>
      </xdr:nvSpPr>
      <xdr:spPr>
        <a:xfrm>
          <a:off x="5381625" y="2082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51" name="Line 351"/>
        <xdr:cNvSpPr>
          <a:spLocks/>
        </xdr:cNvSpPr>
      </xdr:nvSpPr>
      <xdr:spPr>
        <a:xfrm>
          <a:off x="5381625" y="2082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161925</xdr:rowOff>
    </xdr:from>
    <xdr:to>
      <xdr:col>4</xdr:col>
      <xdr:colOff>0</xdr:colOff>
      <xdr:row>81</xdr:row>
      <xdr:rowOff>161925</xdr:rowOff>
    </xdr:to>
    <xdr:sp>
      <xdr:nvSpPr>
        <xdr:cNvPr id="352" name="Line 352"/>
        <xdr:cNvSpPr>
          <a:spLocks/>
        </xdr:cNvSpPr>
      </xdr:nvSpPr>
      <xdr:spPr>
        <a:xfrm>
          <a:off x="5381625" y="2281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200025</xdr:rowOff>
    </xdr:from>
    <xdr:to>
      <xdr:col>4</xdr:col>
      <xdr:colOff>0</xdr:colOff>
      <xdr:row>82</xdr:row>
      <xdr:rowOff>200025</xdr:rowOff>
    </xdr:to>
    <xdr:sp>
      <xdr:nvSpPr>
        <xdr:cNvPr id="353" name="Line 353"/>
        <xdr:cNvSpPr>
          <a:spLocks/>
        </xdr:cNvSpPr>
      </xdr:nvSpPr>
      <xdr:spPr>
        <a:xfrm>
          <a:off x="5381625" y="2333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85725</xdr:rowOff>
    </xdr:from>
    <xdr:to>
      <xdr:col>4</xdr:col>
      <xdr:colOff>0</xdr:colOff>
      <xdr:row>103</xdr:row>
      <xdr:rowOff>85725</xdr:rowOff>
    </xdr:to>
    <xdr:sp>
      <xdr:nvSpPr>
        <xdr:cNvPr id="354" name="Line 354"/>
        <xdr:cNvSpPr>
          <a:spLocks/>
        </xdr:cNvSpPr>
      </xdr:nvSpPr>
      <xdr:spPr>
        <a:xfrm>
          <a:off x="5381625" y="2878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55" name="Line 355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56" name="Line 356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57" name="Line 357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58" name="Line 358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61" name="Line 361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62" name="Line 362"/>
        <xdr:cNvSpPr>
          <a:spLocks/>
        </xdr:cNvSpPr>
      </xdr:nvSpPr>
      <xdr:spPr>
        <a:xfrm>
          <a:off x="5381625" y="2888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63" name="Line 363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364" name="Line 364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65" name="Line 365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66" name="Line 366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38162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114</xdr:row>
      <xdr:rowOff>104775</xdr:rowOff>
    </xdr:from>
    <xdr:to>
      <xdr:col>1</xdr:col>
      <xdr:colOff>466725</xdr:colOff>
      <xdr:row>114</xdr:row>
      <xdr:rowOff>104775</xdr:rowOff>
    </xdr:to>
    <xdr:sp>
      <xdr:nvSpPr>
        <xdr:cNvPr id="369" name="Line 369"/>
        <xdr:cNvSpPr>
          <a:spLocks/>
        </xdr:cNvSpPr>
      </xdr:nvSpPr>
      <xdr:spPr>
        <a:xfrm>
          <a:off x="704850" y="31670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70" name="Line 370"/>
        <xdr:cNvSpPr>
          <a:spLocks/>
        </xdr:cNvSpPr>
      </xdr:nvSpPr>
      <xdr:spPr>
        <a:xfrm>
          <a:off x="538162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71" name="Line 371"/>
        <xdr:cNvSpPr>
          <a:spLocks/>
        </xdr:cNvSpPr>
      </xdr:nvSpPr>
      <xdr:spPr>
        <a:xfrm>
          <a:off x="5381625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72" name="Line 372"/>
        <xdr:cNvSpPr>
          <a:spLocks/>
        </xdr:cNvSpPr>
      </xdr:nvSpPr>
      <xdr:spPr>
        <a:xfrm>
          <a:off x="5381625" y="2850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373" name="Line 373"/>
        <xdr:cNvSpPr>
          <a:spLocks/>
        </xdr:cNvSpPr>
      </xdr:nvSpPr>
      <xdr:spPr>
        <a:xfrm>
          <a:off x="538162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152400</xdr:rowOff>
    </xdr:from>
    <xdr:to>
      <xdr:col>4</xdr:col>
      <xdr:colOff>0</xdr:colOff>
      <xdr:row>106</xdr:row>
      <xdr:rowOff>152400</xdr:rowOff>
    </xdr:to>
    <xdr:sp>
      <xdr:nvSpPr>
        <xdr:cNvPr id="374" name="Line 374"/>
        <xdr:cNvSpPr>
          <a:spLocks/>
        </xdr:cNvSpPr>
      </xdr:nvSpPr>
      <xdr:spPr>
        <a:xfrm>
          <a:off x="5381625" y="2968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375" name="Line 375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376" name="Line 376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123825</xdr:rowOff>
    </xdr:from>
    <xdr:to>
      <xdr:col>4</xdr:col>
      <xdr:colOff>0</xdr:colOff>
      <xdr:row>106</xdr:row>
      <xdr:rowOff>123825</xdr:rowOff>
    </xdr:to>
    <xdr:sp>
      <xdr:nvSpPr>
        <xdr:cNvPr id="377" name="Line 377"/>
        <xdr:cNvSpPr>
          <a:spLocks/>
        </xdr:cNvSpPr>
      </xdr:nvSpPr>
      <xdr:spPr>
        <a:xfrm>
          <a:off x="5381625" y="296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123825</xdr:rowOff>
    </xdr:from>
    <xdr:to>
      <xdr:col>4</xdr:col>
      <xdr:colOff>0</xdr:colOff>
      <xdr:row>106</xdr:row>
      <xdr:rowOff>123825</xdr:rowOff>
    </xdr:to>
    <xdr:sp>
      <xdr:nvSpPr>
        <xdr:cNvPr id="378" name="Line 378"/>
        <xdr:cNvSpPr>
          <a:spLocks/>
        </xdr:cNvSpPr>
      </xdr:nvSpPr>
      <xdr:spPr>
        <a:xfrm>
          <a:off x="5381625" y="2966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379" name="Line 379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380" name="Line 380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116</xdr:row>
      <xdr:rowOff>0</xdr:rowOff>
    </xdr:from>
    <xdr:to>
      <xdr:col>1</xdr:col>
      <xdr:colOff>466725</xdr:colOff>
      <xdr:row>116</xdr:row>
      <xdr:rowOff>0</xdr:rowOff>
    </xdr:to>
    <xdr:sp>
      <xdr:nvSpPr>
        <xdr:cNvPr id="381" name="Line 381"/>
        <xdr:cNvSpPr>
          <a:spLocks/>
        </xdr:cNvSpPr>
      </xdr:nvSpPr>
      <xdr:spPr>
        <a:xfrm>
          <a:off x="704850" y="32156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2" name="Line 382"/>
        <xdr:cNvSpPr>
          <a:spLocks/>
        </xdr:cNvSpPr>
      </xdr:nvSpPr>
      <xdr:spPr>
        <a:xfrm>
          <a:off x="53816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3" name="Line 383"/>
        <xdr:cNvSpPr>
          <a:spLocks/>
        </xdr:cNvSpPr>
      </xdr:nvSpPr>
      <xdr:spPr>
        <a:xfrm>
          <a:off x="53816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200025</xdr:rowOff>
    </xdr:from>
    <xdr:to>
      <xdr:col>4</xdr:col>
      <xdr:colOff>0</xdr:colOff>
      <xdr:row>33</xdr:row>
      <xdr:rowOff>200025</xdr:rowOff>
    </xdr:to>
    <xdr:sp>
      <xdr:nvSpPr>
        <xdr:cNvPr id="384" name="Line 384"/>
        <xdr:cNvSpPr>
          <a:spLocks/>
        </xdr:cNvSpPr>
      </xdr:nvSpPr>
      <xdr:spPr>
        <a:xfrm>
          <a:off x="53816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200025</xdr:rowOff>
    </xdr:from>
    <xdr:to>
      <xdr:col>4</xdr:col>
      <xdr:colOff>0</xdr:colOff>
      <xdr:row>33</xdr:row>
      <xdr:rowOff>200025</xdr:rowOff>
    </xdr:to>
    <xdr:sp>
      <xdr:nvSpPr>
        <xdr:cNvPr id="385" name="Line 385"/>
        <xdr:cNvSpPr>
          <a:spLocks/>
        </xdr:cNvSpPr>
      </xdr:nvSpPr>
      <xdr:spPr>
        <a:xfrm>
          <a:off x="53816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381625" y="2812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123825</xdr:rowOff>
    </xdr:from>
    <xdr:to>
      <xdr:col>4</xdr:col>
      <xdr:colOff>0</xdr:colOff>
      <xdr:row>88</xdr:row>
      <xdr:rowOff>123825</xdr:rowOff>
    </xdr:to>
    <xdr:sp>
      <xdr:nvSpPr>
        <xdr:cNvPr id="387" name="Line 387"/>
        <xdr:cNvSpPr>
          <a:spLocks/>
        </xdr:cNvSpPr>
      </xdr:nvSpPr>
      <xdr:spPr>
        <a:xfrm>
          <a:off x="5381625" y="2520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8" name="Line 388"/>
        <xdr:cNvSpPr>
          <a:spLocks/>
        </xdr:cNvSpPr>
      </xdr:nvSpPr>
      <xdr:spPr>
        <a:xfrm>
          <a:off x="53816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89" name="Line 389"/>
        <xdr:cNvSpPr>
          <a:spLocks/>
        </xdr:cNvSpPr>
      </xdr:nvSpPr>
      <xdr:spPr>
        <a:xfrm>
          <a:off x="53816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0" name="Line 390"/>
        <xdr:cNvSpPr>
          <a:spLocks/>
        </xdr:cNvSpPr>
      </xdr:nvSpPr>
      <xdr:spPr>
        <a:xfrm>
          <a:off x="53816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91" name="Line 391"/>
        <xdr:cNvSpPr>
          <a:spLocks/>
        </xdr:cNvSpPr>
      </xdr:nvSpPr>
      <xdr:spPr>
        <a:xfrm>
          <a:off x="5381625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200025</xdr:rowOff>
    </xdr:from>
    <xdr:to>
      <xdr:col>4</xdr:col>
      <xdr:colOff>0</xdr:colOff>
      <xdr:row>43</xdr:row>
      <xdr:rowOff>200025</xdr:rowOff>
    </xdr:to>
    <xdr:sp>
      <xdr:nvSpPr>
        <xdr:cNvPr id="392" name="Line 392"/>
        <xdr:cNvSpPr>
          <a:spLocks/>
        </xdr:cNvSpPr>
      </xdr:nvSpPr>
      <xdr:spPr>
        <a:xfrm>
          <a:off x="5381625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200025</xdr:rowOff>
    </xdr:from>
    <xdr:to>
      <xdr:col>4</xdr:col>
      <xdr:colOff>0</xdr:colOff>
      <xdr:row>43</xdr:row>
      <xdr:rowOff>200025</xdr:rowOff>
    </xdr:to>
    <xdr:sp>
      <xdr:nvSpPr>
        <xdr:cNvPr id="393" name="Line 393"/>
        <xdr:cNvSpPr>
          <a:spLocks/>
        </xdr:cNvSpPr>
      </xdr:nvSpPr>
      <xdr:spPr>
        <a:xfrm>
          <a:off x="5381625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133350</xdr:rowOff>
    </xdr:from>
    <xdr:to>
      <xdr:col>4</xdr:col>
      <xdr:colOff>0</xdr:colOff>
      <xdr:row>71</xdr:row>
      <xdr:rowOff>133350</xdr:rowOff>
    </xdr:to>
    <xdr:sp>
      <xdr:nvSpPr>
        <xdr:cNvPr id="394" name="Line 394"/>
        <xdr:cNvSpPr>
          <a:spLocks/>
        </xdr:cNvSpPr>
      </xdr:nvSpPr>
      <xdr:spPr>
        <a:xfrm>
          <a:off x="5381625" y="2002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142875</xdr:rowOff>
    </xdr:from>
    <xdr:to>
      <xdr:col>4</xdr:col>
      <xdr:colOff>0</xdr:colOff>
      <xdr:row>71</xdr:row>
      <xdr:rowOff>142875</xdr:rowOff>
    </xdr:to>
    <xdr:sp>
      <xdr:nvSpPr>
        <xdr:cNvPr id="395" name="Line 395"/>
        <xdr:cNvSpPr>
          <a:spLocks/>
        </xdr:cNvSpPr>
      </xdr:nvSpPr>
      <xdr:spPr>
        <a:xfrm>
          <a:off x="5381625" y="200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117</xdr:row>
      <xdr:rowOff>0</xdr:rowOff>
    </xdr:from>
    <xdr:to>
      <xdr:col>1</xdr:col>
      <xdr:colOff>457200</xdr:colOff>
      <xdr:row>117</xdr:row>
      <xdr:rowOff>0</xdr:rowOff>
    </xdr:to>
    <xdr:sp>
      <xdr:nvSpPr>
        <xdr:cNvPr id="396" name="Line 396"/>
        <xdr:cNvSpPr>
          <a:spLocks/>
        </xdr:cNvSpPr>
      </xdr:nvSpPr>
      <xdr:spPr>
        <a:xfrm>
          <a:off x="695325" y="32451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397" name="Line 397"/>
        <xdr:cNvSpPr>
          <a:spLocks/>
        </xdr:cNvSpPr>
      </xdr:nvSpPr>
      <xdr:spPr>
        <a:xfrm>
          <a:off x="53816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398" name="Line 398"/>
        <xdr:cNvSpPr>
          <a:spLocks/>
        </xdr:cNvSpPr>
      </xdr:nvSpPr>
      <xdr:spPr>
        <a:xfrm>
          <a:off x="53816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399" name="Line 399"/>
        <xdr:cNvSpPr>
          <a:spLocks/>
        </xdr:cNvSpPr>
      </xdr:nvSpPr>
      <xdr:spPr>
        <a:xfrm>
          <a:off x="53816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400" name="Line 400"/>
        <xdr:cNvSpPr>
          <a:spLocks/>
        </xdr:cNvSpPr>
      </xdr:nvSpPr>
      <xdr:spPr>
        <a:xfrm>
          <a:off x="5381625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0</xdr:colOff>
      <xdr:row>19</xdr:row>
      <xdr:rowOff>190500</xdr:rowOff>
    </xdr:to>
    <xdr:sp>
      <xdr:nvSpPr>
        <xdr:cNvPr id="401" name="Line 401"/>
        <xdr:cNvSpPr>
          <a:spLocks/>
        </xdr:cNvSpPr>
      </xdr:nvSpPr>
      <xdr:spPr>
        <a:xfrm>
          <a:off x="53816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0</xdr:colOff>
      <xdr:row>19</xdr:row>
      <xdr:rowOff>190500</xdr:rowOff>
    </xdr:to>
    <xdr:sp>
      <xdr:nvSpPr>
        <xdr:cNvPr id="402" name="Line 402"/>
        <xdr:cNvSpPr>
          <a:spLocks/>
        </xdr:cNvSpPr>
      </xdr:nvSpPr>
      <xdr:spPr>
        <a:xfrm>
          <a:off x="5381625" y="50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171450</xdr:rowOff>
    </xdr:from>
    <xdr:to>
      <xdr:col>4</xdr:col>
      <xdr:colOff>0</xdr:colOff>
      <xdr:row>20</xdr:row>
      <xdr:rowOff>171450</xdr:rowOff>
    </xdr:to>
    <xdr:sp>
      <xdr:nvSpPr>
        <xdr:cNvPr id="403" name="Line 403"/>
        <xdr:cNvSpPr>
          <a:spLocks/>
        </xdr:cNvSpPr>
      </xdr:nvSpPr>
      <xdr:spPr>
        <a:xfrm>
          <a:off x="53816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171450</xdr:rowOff>
    </xdr:from>
    <xdr:to>
      <xdr:col>4</xdr:col>
      <xdr:colOff>0</xdr:colOff>
      <xdr:row>20</xdr:row>
      <xdr:rowOff>171450</xdr:rowOff>
    </xdr:to>
    <xdr:sp>
      <xdr:nvSpPr>
        <xdr:cNvPr id="404" name="Line 404"/>
        <xdr:cNvSpPr>
          <a:spLocks/>
        </xdr:cNvSpPr>
      </xdr:nvSpPr>
      <xdr:spPr>
        <a:xfrm>
          <a:off x="538162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200025</xdr:rowOff>
    </xdr:from>
    <xdr:to>
      <xdr:col>4</xdr:col>
      <xdr:colOff>0</xdr:colOff>
      <xdr:row>21</xdr:row>
      <xdr:rowOff>200025</xdr:rowOff>
    </xdr:to>
    <xdr:sp>
      <xdr:nvSpPr>
        <xdr:cNvPr id="405" name="Line 405"/>
        <xdr:cNvSpPr>
          <a:spLocks/>
        </xdr:cNvSpPr>
      </xdr:nvSpPr>
      <xdr:spPr>
        <a:xfrm>
          <a:off x="5381625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200025</xdr:rowOff>
    </xdr:from>
    <xdr:to>
      <xdr:col>4</xdr:col>
      <xdr:colOff>0</xdr:colOff>
      <xdr:row>21</xdr:row>
      <xdr:rowOff>200025</xdr:rowOff>
    </xdr:to>
    <xdr:sp>
      <xdr:nvSpPr>
        <xdr:cNvPr id="406" name="Line 406"/>
        <xdr:cNvSpPr>
          <a:spLocks/>
        </xdr:cNvSpPr>
      </xdr:nvSpPr>
      <xdr:spPr>
        <a:xfrm>
          <a:off x="5381625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407" name="Line 407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408" name="Line 408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409" name="Line 409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410" name="Line 410"/>
        <xdr:cNvSpPr>
          <a:spLocks/>
        </xdr:cNvSpPr>
      </xdr:nvSpPr>
      <xdr:spPr>
        <a:xfrm>
          <a:off x="5381625" y="2200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1" name="Line 411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2" name="Line 412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3" name="Line 413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4" name="Line 414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5" name="Line 415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6" name="Line 416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7" name="Line 417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>
      <xdr:nvSpPr>
        <xdr:cNvPr id="418" name="Line 418"/>
        <xdr:cNvSpPr>
          <a:spLocks/>
        </xdr:cNvSpPr>
      </xdr:nvSpPr>
      <xdr:spPr>
        <a:xfrm>
          <a:off x="5381625" y="2972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19" name="Line 419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20" name="Line 420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21" name="Line 421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22" name="Line 422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23" name="Line 423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24" name="Line 424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25" name="Line 425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4</xdr:col>
      <xdr:colOff>0</xdr:colOff>
      <xdr:row>106</xdr:row>
      <xdr:rowOff>0</xdr:rowOff>
    </xdr:to>
    <xdr:sp>
      <xdr:nvSpPr>
        <xdr:cNvPr id="426" name="Line 426"/>
        <xdr:cNvSpPr>
          <a:spLocks/>
        </xdr:cNvSpPr>
      </xdr:nvSpPr>
      <xdr:spPr>
        <a:xfrm>
          <a:off x="5381625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2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001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0001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2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9817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334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59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334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50006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36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019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2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429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001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001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45" name="Line 147"/>
        <xdr:cNvSpPr>
          <a:spLocks/>
        </xdr:cNvSpPr>
      </xdr:nvSpPr>
      <xdr:spPr>
        <a:xfrm>
          <a:off x="10001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146" name="Line 148"/>
        <xdr:cNvSpPr>
          <a:spLocks/>
        </xdr:cNvSpPr>
      </xdr:nvSpPr>
      <xdr:spPr>
        <a:xfrm>
          <a:off x="981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126</xdr:row>
      <xdr:rowOff>0</xdr:rowOff>
    </xdr:to>
    <xdr:sp>
      <xdr:nvSpPr>
        <xdr:cNvPr id="147" name="Line 157"/>
        <xdr:cNvSpPr>
          <a:spLocks/>
        </xdr:cNvSpPr>
      </xdr:nvSpPr>
      <xdr:spPr>
        <a:xfrm>
          <a:off x="6791325" y="2547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0</xdr:rowOff>
    </xdr:from>
    <xdr:to>
      <xdr:col>2</xdr:col>
      <xdr:colOff>190500</xdr:colOff>
      <xdr:row>15</xdr:row>
      <xdr:rowOff>0</xdr:rowOff>
    </xdr:to>
    <xdr:sp>
      <xdr:nvSpPr>
        <xdr:cNvPr id="148" name="Line 158"/>
        <xdr:cNvSpPr>
          <a:spLocks/>
        </xdr:cNvSpPr>
      </xdr:nvSpPr>
      <xdr:spPr>
        <a:xfrm>
          <a:off x="962025" y="3238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114300</xdr:rowOff>
    </xdr:from>
    <xdr:to>
      <xdr:col>2</xdr:col>
      <xdr:colOff>142875</xdr:colOff>
      <xdr:row>22</xdr:row>
      <xdr:rowOff>114300</xdr:rowOff>
    </xdr:to>
    <xdr:sp>
      <xdr:nvSpPr>
        <xdr:cNvPr id="149" name="Line 159"/>
        <xdr:cNvSpPr>
          <a:spLocks/>
        </xdr:cNvSpPr>
      </xdr:nvSpPr>
      <xdr:spPr>
        <a:xfrm>
          <a:off x="942975" y="4733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95250</xdr:rowOff>
    </xdr:from>
    <xdr:to>
      <xdr:col>2</xdr:col>
      <xdr:colOff>142875</xdr:colOff>
      <xdr:row>23</xdr:row>
      <xdr:rowOff>95250</xdr:rowOff>
    </xdr:to>
    <xdr:sp>
      <xdr:nvSpPr>
        <xdr:cNvPr id="150" name="Line 160"/>
        <xdr:cNvSpPr>
          <a:spLocks/>
        </xdr:cNvSpPr>
      </xdr:nvSpPr>
      <xdr:spPr>
        <a:xfrm>
          <a:off x="9429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99</xdr:row>
      <xdr:rowOff>85725</xdr:rowOff>
    </xdr:from>
    <xdr:to>
      <xdr:col>2</xdr:col>
      <xdr:colOff>200025</xdr:colOff>
      <xdr:row>99</xdr:row>
      <xdr:rowOff>85725</xdr:rowOff>
    </xdr:to>
    <xdr:sp>
      <xdr:nvSpPr>
        <xdr:cNvPr id="151" name="Line 161"/>
        <xdr:cNvSpPr>
          <a:spLocks/>
        </xdr:cNvSpPr>
      </xdr:nvSpPr>
      <xdr:spPr>
        <a:xfrm>
          <a:off x="981075" y="20316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105</xdr:row>
      <xdr:rowOff>114300</xdr:rowOff>
    </xdr:from>
    <xdr:to>
      <xdr:col>2</xdr:col>
      <xdr:colOff>200025</xdr:colOff>
      <xdr:row>105</xdr:row>
      <xdr:rowOff>114300</xdr:rowOff>
    </xdr:to>
    <xdr:sp>
      <xdr:nvSpPr>
        <xdr:cNvPr id="152" name="Line 162"/>
        <xdr:cNvSpPr>
          <a:spLocks/>
        </xdr:cNvSpPr>
      </xdr:nvSpPr>
      <xdr:spPr>
        <a:xfrm>
          <a:off x="981075" y="21412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111</xdr:row>
      <xdr:rowOff>114300</xdr:rowOff>
    </xdr:from>
    <xdr:to>
      <xdr:col>2</xdr:col>
      <xdr:colOff>200025</xdr:colOff>
      <xdr:row>111</xdr:row>
      <xdr:rowOff>114300</xdr:rowOff>
    </xdr:to>
    <xdr:sp>
      <xdr:nvSpPr>
        <xdr:cNvPr id="153" name="Line 163"/>
        <xdr:cNvSpPr>
          <a:spLocks/>
        </xdr:cNvSpPr>
      </xdr:nvSpPr>
      <xdr:spPr>
        <a:xfrm>
          <a:off x="981075" y="2261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112</xdr:row>
      <xdr:rowOff>114300</xdr:rowOff>
    </xdr:from>
    <xdr:to>
      <xdr:col>2</xdr:col>
      <xdr:colOff>200025</xdr:colOff>
      <xdr:row>112</xdr:row>
      <xdr:rowOff>114300</xdr:rowOff>
    </xdr:to>
    <xdr:sp>
      <xdr:nvSpPr>
        <xdr:cNvPr id="154" name="Line 164"/>
        <xdr:cNvSpPr>
          <a:spLocks/>
        </xdr:cNvSpPr>
      </xdr:nvSpPr>
      <xdr:spPr>
        <a:xfrm>
          <a:off x="981075" y="22793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113</xdr:row>
      <xdr:rowOff>0</xdr:rowOff>
    </xdr:from>
    <xdr:to>
      <xdr:col>2</xdr:col>
      <xdr:colOff>200025</xdr:colOff>
      <xdr:row>113</xdr:row>
      <xdr:rowOff>0</xdr:rowOff>
    </xdr:to>
    <xdr:sp>
      <xdr:nvSpPr>
        <xdr:cNvPr id="155" name="Line 165"/>
        <xdr:cNvSpPr>
          <a:spLocks/>
        </xdr:cNvSpPr>
      </xdr:nvSpPr>
      <xdr:spPr>
        <a:xfrm>
          <a:off x="981075" y="22860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119</xdr:row>
      <xdr:rowOff>114300</xdr:rowOff>
    </xdr:from>
    <xdr:to>
      <xdr:col>2</xdr:col>
      <xdr:colOff>200025</xdr:colOff>
      <xdr:row>119</xdr:row>
      <xdr:rowOff>114300</xdr:rowOff>
    </xdr:to>
    <xdr:sp>
      <xdr:nvSpPr>
        <xdr:cNvPr id="156" name="Line 166"/>
        <xdr:cNvSpPr>
          <a:spLocks/>
        </xdr:cNvSpPr>
      </xdr:nvSpPr>
      <xdr:spPr>
        <a:xfrm>
          <a:off x="981075" y="24060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120</xdr:row>
      <xdr:rowOff>0</xdr:rowOff>
    </xdr:from>
    <xdr:to>
      <xdr:col>2</xdr:col>
      <xdr:colOff>200025</xdr:colOff>
      <xdr:row>120</xdr:row>
      <xdr:rowOff>0</xdr:rowOff>
    </xdr:to>
    <xdr:sp>
      <xdr:nvSpPr>
        <xdr:cNvPr id="157" name="Line 167"/>
        <xdr:cNvSpPr>
          <a:spLocks/>
        </xdr:cNvSpPr>
      </xdr:nvSpPr>
      <xdr:spPr>
        <a:xfrm>
          <a:off x="981075" y="24126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122</xdr:row>
      <xdr:rowOff>0</xdr:rowOff>
    </xdr:from>
    <xdr:to>
      <xdr:col>2</xdr:col>
      <xdr:colOff>200025</xdr:colOff>
      <xdr:row>122</xdr:row>
      <xdr:rowOff>0</xdr:rowOff>
    </xdr:to>
    <xdr:sp>
      <xdr:nvSpPr>
        <xdr:cNvPr id="158" name="Line 168"/>
        <xdr:cNvSpPr>
          <a:spLocks/>
        </xdr:cNvSpPr>
      </xdr:nvSpPr>
      <xdr:spPr>
        <a:xfrm>
          <a:off x="981075" y="24488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122</xdr:row>
      <xdr:rowOff>0</xdr:rowOff>
    </xdr:from>
    <xdr:to>
      <xdr:col>2</xdr:col>
      <xdr:colOff>200025</xdr:colOff>
      <xdr:row>122</xdr:row>
      <xdr:rowOff>0</xdr:rowOff>
    </xdr:to>
    <xdr:sp>
      <xdr:nvSpPr>
        <xdr:cNvPr id="159" name="Line 169"/>
        <xdr:cNvSpPr>
          <a:spLocks/>
        </xdr:cNvSpPr>
      </xdr:nvSpPr>
      <xdr:spPr>
        <a:xfrm>
          <a:off x="981075" y="24488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124</xdr:row>
      <xdr:rowOff>114300</xdr:rowOff>
    </xdr:from>
    <xdr:to>
      <xdr:col>2</xdr:col>
      <xdr:colOff>200025</xdr:colOff>
      <xdr:row>124</xdr:row>
      <xdr:rowOff>114300</xdr:rowOff>
    </xdr:to>
    <xdr:sp>
      <xdr:nvSpPr>
        <xdr:cNvPr id="160" name="Line 170"/>
        <xdr:cNvSpPr>
          <a:spLocks/>
        </xdr:cNvSpPr>
      </xdr:nvSpPr>
      <xdr:spPr>
        <a:xfrm>
          <a:off x="981075" y="24965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127</xdr:row>
      <xdr:rowOff>114300</xdr:rowOff>
    </xdr:from>
    <xdr:to>
      <xdr:col>2</xdr:col>
      <xdr:colOff>200025</xdr:colOff>
      <xdr:row>127</xdr:row>
      <xdr:rowOff>114300</xdr:rowOff>
    </xdr:to>
    <xdr:sp>
      <xdr:nvSpPr>
        <xdr:cNvPr id="161" name="Line 171"/>
        <xdr:cNvSpPr>
          <a:spLocks/>
        </xdr:cNvSpPr>
      </xdr:nvSpPr>
      <xdr:spPr>
        <a:xfrm>
          <a:off x="981075" y="2577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128</xdr:row>
      <xdr:rowOff>0</xdr:rowOff>
    </xdr:from>
    <xdr:to>
      <xdr:col>2</xdr:col>
      <xdr:colOff>200025</xdr:colOff>
      <xdr:row>128</xdr:row>
      <xdr:rowOff>0</xdr:rowOff>
    </xdr:to>
    <xdr:sp>
      <xdr:nvSpPr>
        <xdr:cNvPr id="162" name="Line 172"/>
        <xdr:cNvSpPr>
          <a:spLocks/>
        </xdr:cNvSpPr>
      </xdr:nvSpPr>
      <xdr:spPr>
        <a:xfrm>
          <a:off x="981075" y="25841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63" name="Line 173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64" name="Line 174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65" name="Line 175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66" name="Line 176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232</xdr:row>
      <xdr:rowOff>104775</xdr:rowOff>
    </xdr:from>
    <xdr:to>
      <xdr:col>2</xdr:col>
      <xdr:colOff>219075</xdr:colOff>
      <xdr:row>232</xdr:row>
      <xdr:rowOff>104775</xdr:rowOff>
    </xdr:to>
    <xdr:sp>
      <xdr:nvSpPr>
        <xdr:cNvPr id="167" name="Line 177"/>
        <xdr:cNvSpPr>
          <a:spLocks/>
        </xdr:cNvSpPr>
      </xdr:nvSpPr>
      <xdr:spPr>
        <a:xfrm>
          <a:off x="1000125" y="47101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233</xdr:row>
      <xdr:rowOff>104775</xdr:rowOff>
    </xdr:from>
    <xdr:to>
      <xdr:col>2</xdr:col>
      <xdr:colOff>219075</xdr:colOff>
      <xdr:row>233</xdr:row>
      <xdr:rowOff>104775</xdr:rowOff>
    </xdr:to>
    <xdr:sp>
      <xdr:nvSpPr>
        <xdr:cNvPr id="168" name="Line 178"/>
        <xdr:cNvSpPr>
          <a:spLocks/>
        </xdr:cNvSpPr>
      </xdr:nvSpPr>
      <xdr:spPr>
        <a:xfrm>
          <a:off x="1000125" y="47339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0</xdr:rowOff>
    </xdr:from>
    <xdr:to>
      <xdr:col>2</xdr:col>
      <xdr:colOff>190500</xdr:colOff>
      <xdr:row>14</xdr:row>
      <xdr:rowOff>0</xdr:rowOff>
    </xdr:to>
    <xdr:sp>
      <xdr:nvSpPr>
        <xdr:cNvPr id="169" name="Line 179"/>
        <xdr:cNvSpPr>
          <a:spLocks/>
        </xdr:cNvSpPr>
      </xdr:nvSpPr>
      <xdr:spPr>
        <a:xfrm>
          <a:off x="962025" y="3067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46</xdr:row>
      <xdr:rowOff>114300</xdr:rowOff>
    </xdr:from>
    <xdr:to>
      <xdr:col>2</xdr:col>
      <xdr:colOff>200025</xdr:colOff>
      <xdr:row>46</xdr:row>
      <xdr:rowOff>114300</xdr:rowOff>
    </xdr:to>
    <xdr:sp>
      <xdr:nvSpPr>
        <xdr:cNvPr id="170" name="Line 180"/>
        <xdr:cNvSpPr>
          <a:spLocks/>
        </xdr:cNvSpPr>
      </xdr:nvSpPr>
      <xdr:spPr>
        <a:xfrm>
          <a:off x="981075" y="925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59</xdr:row>
      <xdr:rowOff>0</xdr:rowOff>
    </xdr:from>
    <xdr:to>
      <xdr:col>2</xdr:col>
      <xdr:colOff>200025</xdr:colOff>
      <xdr:row>59</xdr:row>
      <xdr:rowOff>0</xdr:rowOff>
    </xdr:to>
    <xdr:sp>
      <xdr:nvSpPr>
        <xdr:cNvPr id="171" name="Line 181"/>
        <xdr:cNvSpPr>
          <a:spLocks/>
        </xdr:cNvSpPr>
      </xdr:nvSpPr>
      <xdr:spPr>
        <a:xfrm>
          <a:off x="981075" y="11496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0</xdr:rowOff>
    </xdr:from>
    <xdr:to>
      <xdr:col>2</xdr:col>
      <xdr:colOff>200025</xdr:colOff>
      <xdr:row>71</xdr:row>
      <xdr:rowOff>0</xdr:rowOff>
    </xdr:to>
    <xdr:sp>
      <xdr:nvSpPr>
        <xdr:cNvPr id="172" name="Line 182"/>
        <xdr:cNvSpPr>
          <a:spLocks/>
        </xdr:cNvSpPr>
      </xdr:nvSpPr>
      <xdr:spPr>
        <a:xfrm>
          <a:off x="981075" y="14154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75</xdr:row>
      <xdr:rowOff>66675</xdr:rowOff>
    </xdr:from>
    <xdr:to>
      <xdr:col>2</xdr:col>
      <xdr:colOff>200025</xdr:colOff>
      <xdr:row>75</xdr:row>
      <xdr:rowOff>66675</xdr:rowOff>
    </xdr:to>
    <xdr:sp>
      <xdr:nvSpPr>
        <xdr:cNvPr id="173" name="Line 183"/>
        <xdr:cNvSpPr>
          <a:spLocks/>
        </xdr:cNvSpPr>
      </xdr:nvSpPr>
      <xdr:spPr>
        <a:xfrm>
          <a:off x="981075" y="15059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74" name="Line 184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193</xdr:row>
      <xdr:rowOff>114300</xdr:rowOff>
    </xdr:from>
    <xdr:to>
      <xdr:col>2</xdr:col>
      <xdr:colOff>200025</xdr:colOff>
      <xdr:row>193</xdr:row>
      <xdr:rowOff>114300</xdr:rowOff>
    </xdr:to>
    <xdr:sp>
      <xdr:nvSpPr>
        <xdr:cNvPr id="175" name="Line 185"/>
        <xdr:cNvSpPr>
          <a:spLocks/>
        </xdr:cNvSpPr>
      </xdr:nvSpPr>
      <xdr:spPr>
        <a:xfrm>
          <a:off x="981075" y="39433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196</xdr:row>
      <xdr:rowOff>114300</xdr:rowOff>
    </xdr:from>
    <xdr:to>
      <xdr:col>2</xdr:col>
      <xdr:colOff>200025</xdr:colOff>
      <xdr:row>196</xdr:row>
      <xdr:rowOff>114300</xdr:rowOff>
    </xdr:to>
    <xdr:sp>
      <xdr:nvSpPr>
        <xdr:cNvPr id="176" name="Line 186"/>
        <xdr:cNvSpPr>
          <a:spLocks/>
        </xdr:cNvSpPr>
      </xdr:nvSpPr>
      <xdr:spPr>
        <a:xfrm>
          <a:off x="981075" y="40243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199</xdr:row>
      <xdr:rowOff>114300</xdr:rowOff>
    </xdr:from>
    <xdr:to>
      <xdr:col>2</xdr:col>
      <xdr:colOff>200025</xdr:colOff>
      <xdr:row>199</xdr:row>
      <xdr:rowOff>114300</xdr:rowOff>
    </xdr:to>
    <xdr:sp>
      <xdr:nvSpPr>
        <xdr:cNvPr id="177" name="Line 187"/>
        <xdr:cNvSpPr>
          <a:spLocks/>
        </xdr:cNvSpPr>
      </xdr:nvSpPr>
      <xdr:spPr>
        <a:xfrm>
          <a:off x="981075" y="40795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202</xdr:row>
      <xdr:rowOff>114300</xdr:rowOff>
    </xdr:from>
    <xdr:to>
      <xdr:col>2</xdr:col>
      <xdr:colOff>200025</xdr:colOff>
      <xdr:row>202</xdr:row>
      <xdr:rowOff>114300</xdr:rowOff>
    </xdr:to>
    <xdr:sp>
      <xdr:nvSpPr>
        <xdr:cNvPr id="178" name="Line 188"/>
        <xdr:cNvSpPr>
          <a:spLocks/>
        </xdr:cNvSpPr>
      </xdr:nvSpPr>
      <xdr:spPr>
        <a:xfrm>
          <a:off x="981075" y="41338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203</xdr:row>
      <xdr:rowOff>0</xdr:rowOff>
    </xdr:from>
    <xdr:to>
      <xdr:col>2</xdr:col>
      <xdr:colOff>200025</xdr:colOff>
      <xdr:row>203</xdr:row>
      <xdr:rowOff>0</xdr:rowOff>
    </xdr:to>
    <xdr:sp>
      <xdr:nvSpPr>
        <xdr:cNvPr id="179" name="Line 189"/>
        <xdr:cNvSpPr>
          <a:spLocks/>
        </xdr:cNvSpPr>
      </xdr:nvSpPr>
      <xdr:spPr>
        <a:xfrm>
          <a:off x="981075" y="41405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190</xdr:row>
      <xdr:rowOff>114300</xdr:rowOff>
    </xdr:from>
    <xdr:to>
      <xdr:col>2</xdr:col>
      <xdr:colOff>200025</xdr:colOff>
      <xdr:row>190</xdr:row>
      <xdr:rowOff>114300</xdr:rowOff>
    </xdr:to>
    <xdr:sp>
      <xdr:nvSpPr>
        <xdr:cNvPr id="180" name="Line 190"/>
        <xdr:cNvSpPr>
          <a:spLocks/>
        </xdr:cNvSpPr>
      </xdr:nvSpPr>
      <xdr:spPr>
        <a:xfrm>
          <a:off x="981075" y="38766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122</xdr:row>
      <xdr:rowOff>0</xdr:rowOff>
    </xdr:from>
    <xdr:to>
      <xdr:col>2</xdr:col>
      <xdr:colOff>200025</xdr:colOff>
      <xdr:row>122</xdr:row>
      <xdr:rowOff>0</xdr:rowOff>
    </xdr:to>
    <xdr:sp>
      <xdr:nvSpPr>
        <xdr:cNvPr id="181" name="Line 191"/>
        <xdr:cNvSpPr>
          <a:spLocks/>
        </xdr:cNvSpPr>
      </xdr:nvSpPr>
      <xdr:spPr>
        <a:xfrm>
          <a:off x="981075" y="24488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82" name="Line 192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211</xdr:row>
      <xdr:rowOff>0</xdr:rowOff>
    </xdr:from>
    <xdr:to>
      <xdr:col>2</xdr:col>
      <xdr:colOff>200025</xdr:colOff>
      <xdr:row>211</xdr:row>
      <xdr:rowOff>0</xdr:rowOff>
    </xdr:to>
    <xdr:sp>
      <xdr:nvSpPr>
        <xdr:cNvPr id="183" name="Line 193"/>
        <xdr:cNvSpPr>
          <a:spLocks/>
        </xdr:cNvSpPr>
      </xdr:nvSpPr>
      <xdr:spPr>
        <a:xfrm>
          <a:off x="981075" y="42852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39</xdr:row>
      <xdr:rowOff>76200</xdr:rowOff>
    </xdr:from>
    <xdr:to>
      <xdr:col>2</xdr:col>
      <xdr:colOff>142875</xdr:colOff>
      <xdr:row>39</xdr:row>
      <xdr:rowOff>76200</xdr:rowOff>
    </xdr:to>
    <xdr:sp>
      <xdr:nvSpPr>
        <xdr:cNvPr id="184" name="Line 194"/>
        <xdr:cNvSpPr>
          <a:spLocks/>
        </xdr:cNvSpPr>
      </xdr:nvSpPr>
      <xdr:spPr>
        <a:xfrm>
          <a:off x="942975" y="7962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55</xdr:row>
      <xdr:rowOff>95250</xdr:rowOff>
    </xdr:from>
    <xdr:to>
      <xdr:col>2</xdr:col>
      <xdr:colOff>133350</xdr:colOff>
      <xdr:row>55</xdr:row>
      <xdr:rowOff>95250</xdr:rowOff>
    </xdr:to>
    <xdr:sp>
      <xdr:nvSpPr>
        <xdr:cNvPr id="185" name="Line 195"/>
        <xdr:cNvSpPr>
          <a:spLocks/>
        </xdr:cNvSpPr>
      </xdr:nvSpPr>
      <xdr:spPr>
        <a:xfrm>
          <a:off x="933450" y="10868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122</xdr:row>
      <xdr:rowOff>0</xdr:rowOff>
    </xdr:from>
    <xdr:to>
      <xdr:col>2</xdr:col>
      <xdr:colOff>200025</xdr:colOff>
      <xdr:row>122</xdr:row>
      <xdr:rowOff>0</xdr:rowOff>
    </xdr:to>
    <xdr:sp>
      <xdr:nvSpPr>
        <xdr:cNvPr id="186" name="Line 196"/>
        <xdr:cNvSpPr>
          <a:spLocks/>
        </xdr:cNvSpPr>
      </xdr:nvSpPr>
      <xdr:spPr>
        <a:xfrm>
          <a:off x="981075" y="24488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145</xdr:row>
      <xdr:rowOff>0</xdr:rowOff>
    </xdr:from>
    <xdr:to>
      <xdr:col>2</xdr:col>
      <xdr:colOff>200025</xdr:colOff>
      <xdr:row>145</xdr:row>
      <xdr:rowOff>0</xdr:rowOff>
    </xdr:to>
    <xdr:sp>
      <xdr:nvSpPr>
        <xdr:cNvPr id="187" name="Line 197"/>
        <xdr:cNvSpPr>
          <a:spLocks/>
        </xdr:cNvSpPr>
      </xdr:nvSpPr>
      <xdr:spPr>
        <a:xfrm>
          <a:off x="981075" y="29003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183</xdr:row>
      <xdr:rowOff>114300</xdr:rowOff>
    </xdr:from>
    <xdr:to>
      <xdr:col>2</xdr:col>
      <xdr:colOff>200025</xdr:colOff>
      <xdr:row>183</xdr:row>
      <xdr:rowOff>114300</xdr:rowOff>
    </xdr:to>
    <xdr:sp>
      <xdr:nvSpPr>
        <xdr:cNvPr id="188" name="Line 198"/>
        <xdr:cNvSpPr>
          <a:spLocks/>
        </xdr:cNvSpPr>
      </xdr:nvSpPr>
      <xdr:spPr>
        <a:xfrm>
          <a:off x="981075" y="37290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0</xdr:rowOff>
    </xdr:from>
    <xdr:to>
      <xdr:col>2</xdr:col>
      <xdr:colOff>142875</xdr:colOff>
      <xdr:row>25</xdr:row>
      <xdr:rowOff>0</xdr:rowOff>
    </xdr:to>
    <xdr:sp>
      <xdr:nvSpPr>
        <xdr:cNvPr id="189" name="Line 199"/>
        <xdr:cNvSpPr>
          <a:spLocks/>
        </xdr:cNvSpPr>
      </xdr:nvSpPr>
      <xdr:spPr>
        <a:xfrm>
          <a:off x="942975" y="5143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65</xdr:row>
      <xdr:rowOff>0</xdr:rowOff>
    </xdr:from>
    <xdr:to>
      <xdr:col>2</xdr:col>
      <xdr:colOff>142875</xdr:colOff>
      <xdr:row>65</xdr:row>
      <xdr:rowOff>0</xdr:rowOff>
    </xdr:to>
    <xdr:sp>
      <xdr:nvSpPr>
        <xdr:cNvPr id="190" name="Line 200"/>
        <xdr:cNvSpPr>
          <a:spLocks/>
        </xdr:cNvSpPr>
      </xdr:nvSpPr>
      <xdr:spPr>
        <a:xfrm>
          <a:off x="942975" y="12706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91" name="Line 201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192" name="Line 202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102</xdr:row>
      <xdr:rowOff>114300</xdr:rowOff>
    </xdr:from>
    <xdr:to>
      <xdr:col>2</xdr:col>
      <xdr:colOff>200025</xdr:colOff>
      <xdr:row>102</xdr:row>
      <xdr:rowOff>114300</xdr:rowOff>
    </xdr:to>
    <xdr:sp>
      <xdr:nvSpPr>
        <xdr:cNvPr id="193" name="Line 203"/>
        <xdr:cNvSpPr>
          <a:spLocks/>
        </xdr:cNvSpPr>
      </xdr:nvSpPr>
      <xdr:spPr>
        <a:xfrm>
          <a:off x="981075" y="20888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128</xdr:row>
      <xdr:rowOff>0</xdr:rowOff>
    </xdr:to>
    <xdr:sp>
      <xdr:nvSpPr>
        <xdr:cNvPr id="194" name="Line 204"/>
        <xdr:cNvSpPr>
          <a:spLocks/>
        </xdr:cNvSpPr>
      </xdr:nvSpPr>
      <xdr:spPr>
        <a:xfrm>
          <a:off x="6791325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128</xdr:row>
      <xdr:rowOff>0</xdr:rowOff>
    </xdr:from>
    <xdr:to>
      <xdr:col>2</xdr:col>
      <xdr:colOff>200025</xdr:colOff>
      <xdr:row>128</xdr:row>
      <xdr:rowOff>0</xdr:rowOff>
    </xdr:to>
    <xdr:sp>
      <xdr:nvSpPr>
        <xdr:cNvPr id="195" name="Line 205"/>
        <xdr:cNvSpPr>
          <a:spLocks/>
        </xdr:cNvSpPr>
      </xdr:nvSpPr>
      <xdr:spPr>
        <a:xfrm>
          <a:off x="981075" y="25841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sp>
      <xdr:nvSpPr>
        <xdr:cNvPr id="196" name="Line 206"/>
        <xdr:cNvSpPr>
          <a:spLocks/>
        </xdr:cNvSpPr>
      </xdr:nvSpPr>
      <xdr:spPr>
        <a:xfrm>
          <a:off x="679132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206</xdr:row>
      <xdr:rowOff>0</xdr:rowOff>
    </xdr:from>
    <xdr:to>
      <xdr:col>2</xdr:col>
      <xdr:colOff>200025</xdr:colOff>
      <xdr:row>206</xdr:row>
      <xdr:rowOff>0</xdr:rowOff>
    </xdr:to>
    <xdr:sp>
      <xdr:nvSpPr>
        <xdr:cNvPr id="197" name="Line 207"/>
        <xdr:cNvSpPr>
          <a:spLocks/>
        </xdr:cNvSpPr>
      </xdr:nvSpPr>
      <xdr:spPr>
        <a:xfrm>
          <a:off x="981075" y="41948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120</xdr:row>
      <xdr:rowOff>114300</xdr:rowOff>
    </xdr:from>
    <xdr:to>
      <xdr:col>2</xdr:col>
      <xdr:colOff>200025</xdr:colOff>
      <xdr:row>120</xdr:row>
      <xdr:rowOff>114300</xdr:rowOff>
    </xdr:to>
    <xdr:sp>
      <xdr:nvSpPr>
        <xdr:cNvPr id="198" name="Line 208"/>
        <xdr:cNvSpPr>
          <a:spLocks/>
        </xdr:cNvSpPr>
      </xdr:nvSpPr>
      <xdr:spPr>
        <a:xfrm>
          <a:off x="981075" y="242411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145</xdr:row>
      <xdr:rowOff>0</xdr:rowOff>
    </xdr:from>
    <xdr:to>
      <xdr:col>2</xdr:col>
      <xdr:colOff>200025</xdr:colOff>
      <xdr:row>145</xdr:row>
      <xdr:rowOff>0</xdr:rowOff>
    </xdr:to>
    <xdr:sp>
      <xdr:nvSpPr>
        <xdr:cNvPr id="199" name="Line 209"/>
        <xdr:cNvSpPr>
          <a:spLocks/>
        </xdr:cNvSpPr>
      </xdr:nvSpPr>
      <xdr:spPr>
        <a:xfrm>
          <a:off x="981075" y="29003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145</xdr:row>
      <xdr:rowOff>0</xdr:rowOff>
    </xdr:from>
    <xdr:to>
      <xdr:col>2</xdr:col>
      <xdr:colOff>200025</xdr:colOff>
      <xdr:row>145</xdr:row>
      <xdr:rowOff>0</xdr:rowOff>
    </xdr:to>
    <xdr:sp>
      <xdr:nvSpPr>
        <xdr:cNvPr id="200" name="Line 210"/>
        <xdr:cNvSpPr>
          <a:spLocks/>
        </xdr:cNvSpPr>
      </xdr:nvSpPr>
      <xdr:spPr>
        <a:xfrm>
          <a:off x="981075" y="29003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143</xdr:row>
      <xdr:rowOff>0</xdr:rowOff>
    </xdr:from>
    <xdr:to>
      <xdr:col>2</xdr:col>
      <xdr:colOff>200025</xdr:colOff>
      <xdr:row>143</xdr:row>
      <xdr:rowOff>0</xdr:rowOff>
    </xdr:to>
    <xdr:sp>
      <xdr:nvSpPr>
        <xdr:cNvPr id="201" name="Line 211"/>
        <xdr:cNvSpPr>
          <a:spLocks/>
        </xdr:cNvSpPr>
      </xdr:nvSpPr>
      <xdr:spPr>
        <a:xfrm>
          <a:off x="981075" y="28641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143</xdr:row>
      <xdr:rowOff>0</xdr:rowOff>
    </xdr:from>
    <xdr:to>
      <xdr:col>2</xdr:col>
      <xdr:colOff>200025</xdr:colOff>
      <xdr:row>143</xdr:row>
      <xdr:rowOff>0</xdr:rowOff>
    </xdr:to>
    <xdr:sp>
      <xdr:nvSpPr>
        <xdr:cNvPr id="202" name="Line 212"/>
        <xdr:cNvSpPr>
          <a:spLocks/>
        </xdr:cNvSpPr>
      </xdr:nvSpPr>
      <xdr:spPr>
        <a:xfrm>
          <a:off x="981075" y="28641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203" name="Line 213"/>
        <xdr:cNvSpPr>
          <a:spLocks/>
        </xdr:cNvSpPr>
      </xdr:nvSpPr>
      <xdr:spPr>
        <a:xfrm>
          <a:off x="6791325" y="3053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151</xdr:row>
      <xdr:rowOff>0</xdr:rowOff>
    </xdr:from>
    <xdr:to>
      <xdr:col>3</xdr:col>
      <xdr:colOff>504825</xdr:colOff>
      <xdr:row>151</xdr:row>
      <xdr:rowOff>0</xdr:rowOff>
    </xdr:to>
    <xdr:sp>
      <xdr:nvSpPr>
        <xdr:cNvPr id="204" name="Line 214"/>
        <xdr:cNvSpPr>
          <a:spLocks/>
        </xdr:cNvSpPr>
      </xdr:nvSpPr>
      <xdr:spPr>
        <a:xfrm>
          <a:off x="4019550" y="30537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151</xdr:row>
      <xdr:rowOff>0</xdr:rowOff>
    </xdr:from>
    <xdr:to>
      <xdr:col>5</xdr:col>
      <xdr:colOff>504825</xdr:colOff>
      <xdr:row>151</xdr:row>
      <xdr:rowOff>0</xdr:rowOff>
    </xdr:to>
    <xdr:sp>
      <xdr:nvSpPr>
        <xdr:cNvPr id="205" name="Line 215"/>
        <xdr:cNvSpPr>
          <a:spLocks/>
        </xdr:cNvSpPr>
      </xdr:nvSpPr>
      <xdr:spPr>
        <a:xfrm>
          <a:off x="5981700" y="30537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187</xdr:row>
      <xdr:rowOff>0</xdr:rowOff>
    </xdr:to>
    <xdr:sp>
      <xdr:nvSpPr>
        <xdr:cNvPr id="206" name="Line 216"/>
        <xdr:cNvSpPr>
          <a:spLocks/>
        </xdr:cNvSpPr>
      </xdr:nvSpPr>
      <xdr:spPr>
        <a:xfrm>
          <a:off x="6791325" y="3791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187</xdr:row>
      <xdr:rowOff>0</xdr:rowOff>
    </xdr:from>
    <xdr:to>
      <xdr:col>3</xdr:col>
      <xdr:colOff>504825</xdr:colOff>
      <xdr:row>187</xdr:row>
      <xdr:rowOff>0</xdr:rowOff>
    </xdr:to>
    <xdr:sp>
      <xdr:nvSpPr>
        <xdr:cNvPr id="207" name="Line 217"/>
        <xdr:cNvSpPr>
          <a:spLocks/>
        </xdr:cNvSpPr>
      </xdr:nvSpPr>
      <xdr:spPr>
        <a:xfrm>
          <a:off x="4019550" y="37919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187</xdr:row>
      <xdr:rowOff>0</xdr:rowOff>
    </xdr:from>
    <xdr:to>
      <xdr:col>5</xdr:col>
      <xdr:colOff>504825</xdr:colOff>
      <xdr:row>187</xdr:row>
      <xdr:rowOff>0</xdr:rowOff>
    </xdr:to>
    <xdr:sp>
      <xdr:nvSpPr>
        <xdr:cNvPr id="208" name="Line 218"/>
        <xdr:cNvSpPr>
          <a:spLocks/>
        </xdr:cNvSpPr>
      </xdr:nvSpPr>
      <xdr:spPr>
        <a:xfrm>
          <a:off x="5981700" y="37919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219</xdr:row>
      <xdr:rowOff>114300</xdr:rowOff>
    </xdr:from>
    <xdr:to>
      <xdr:col>2</xdr:col>
      <xdr:colOff>200025</xdr:colOff>
      <xdr:row>219</xdr:row>
      <xdr:rowOff>114300</xdr:rowOff>
    </xdr:to>
    <xdr:sp>
      <xdr:nvSpPr>
        <xdr:cNvPr id="209" name="Line 219"/>
        <xdr:cNvSpPr>
          <a:spLocks/>
        </xdr:cNvSpPr>
      </xdr:nvSpPr>
      <xdr:spPr>
        <a:xfrm>
          <a:off x="981075" y="44786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219</xdr:row>
      <xdr:rowOff>114300</xdr:rowOff>
    </xdr:from>
    <xdr:to>
      <xdr:col>2</xdr:col>
      <xdr:colOff>200025</xdr:colOff>
      <xdr:row>219</xdr:row>
      <xdr:rowOff>114300</xdr:rowOff>
    </xdr:to>
    <xdr:sp>
      <xdr:nvSpPr>
        <xdr:cNvPr id="210" name="Line 220"/>
        <xdr:cNvSpPr>
          <a:spLocks/>
        </xdr:cNvSpPr>
      </xdr:nvSpPr>
      <xdr:spPr>
        <a:xfrm>
          <a:off x="981075" y="44786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128</xdr:row>
      <xdr:rowOff>0</xdr:rowOff>
    </xdr:to>
    <xdr:sp>
      <xdr:nvSpPr>
        <xdr:cNvPr id="211" name="Line 221"/>
        <xdr:cNvSpPr>
          <a:spLocks/>
        </xdr:cNvSpPr>
      </xdr:nvSpPr>
      <xdr:spPr>
        <a:xfrm>
          <a:off x="6791325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128</xdr:row>
      <xdr:rowOff>0</xdr:rowOff>
    </xdr:to>
    <xdr:sp>
      <xdr:nvSpPr>
        <xdr:cNvPr id="212" name="Line 222"/>
        <xdr:cNvSpPr>
          <a:spLocks/>
        </xdr:cNvSpPr>
      </xdr:nvSpPr>
      <xdr:spPr>
        <a:xfrm>
          <a:off x="6791325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213" name="Line 223"/>
        <xdr:cNvSpPr>
          <a:spLocks/>
        </xdr:cNvSpPr>
      </xdr:nvSpPr>
      <xdr:spPr>
        <a:xfrm>
          <a:off x="6791325" y="3053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214" name="Line 224"/>
        <xdr:cNvSpPr>
          <a:spLocks/>
        </xdr:cNvSpPr>
      </xdr:nvSpPr>
      <xdr:spPr>
        <a:xfrm>
          <a:off x="6791325" y="3053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128</xdr:row>
      <xdr:rowOff>0</xdr:rowOff>
    </xdr:to>
    <xdr:sp>
      <xdr:nvSpPr>
        <xdr:cNvPr id="215" name="Line 225"/>
        <xdr:cNvSpPr>
          <a:spLocks/>
        </xdr:cNvSpPr>
      </xdr:nvSpPr>
      <xdr:spPr>
        <a:xfrm>
          <a:off x="6791325" y="258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216" name="Line 226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217" name="Line 227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43</xdr:row>
      <xdr:rowOff>0</xdr:rowOff>
    </xdr:from>
    <xdr:to>
      <xdr:col>2</xdr:col>
      <xdr:colOff>142875</xdr:colOff>
      <xdr:row>43</xdr:row>
      <xdr:rowOff>0</xdr:rowOff>
    </xdr:to>
    <xdr:sp>
      <xdr:nvSpPr>
        <xdr:cNvPr id="218" name="Line 228"/>
        <xdr:cNvSpPr>
          <a:spLocks/>
        </xdr:cNvSpPr>
      </xdr:nvSpPr>
      <xdr:spPr>
        <a:xfrm>
          <a:off x="942975" y="8543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65</xdr:row>
      <xdr:rowOff>0</xdr:rowOff>
    </xdr:from>
    <xdr:to>
      <xdr:col>2</xdr:col>
      <xdr:colOff>200025</xdr:colOff>
      <xdr:row>65</xdr:row>
      <xdr:rowOff>0</xdr:rowOff>
    </xdr:to>
    <xdr:sp>
      <xdr:nvSpPr>
        <xdr:cNvPr id="219" name="Line 229"/>
        <xdr:cNvSpPr>
          <a:spLocks/>
        </xdr:cNvSpPr>
      </xdr:nvSpPr>
      <xdr:spPr>
        <a:xfrm>
          <a:off x="981075" y="12706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59</xdr:row>
      <xdr:rowOff>95250</xdr:rowOff>
    </xdr:from>
    <xdr:to>
      <xdr:col>2</xdr:col>
      <xdr:colOff>133350</xdr:colOff>
      <xdr:row>59</xdr:row>
      <xdr:rowOff>95250</xdr:rowOff>
    </xdr:to>
    <xdr:sp>
      <xdr:nvSpPr>
        <xdr:cNvPr id="220" name="Line 230"/>
        <xdr:cNvSpPr>
          <a:spLocks/>
        </xdr:cNvSpPr>
      </xdr:nvSpPr>
      <xdr:spPr>
        <a:xfrm>
          <a:off x="933450" y="11591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116</xdr:row>
      <xdr:rowOff>114300</xdr:rowOff>
    </xdr:from>
    <xdr:to>
      <xdr:col>2</xdr:col>
      <xdr:colOff>200025</xdr:colOff>
      <xdr:row>116</xdr:row>
      <xdr:rowOff>114300</xdr:rowOff>
    </xdr:to>
    <xdr:sp>
      <xdr:nvSpPr>
        <xdr:cNvPr id="221" name="Line 231"/>
        <xdr:cNvSpPr>
          <a:spLocks/>
        </xdr:cNvSpPr>
      </xdr:nvSpPr>
      <xdr:spPr>
        <a:xfrm>
          <a:off x="981075" y="235172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202</xdr:row>
      <xdr:rowOff>0</xdr:rowOff>
    </xdr:from>
    <xdr:to>
      <xdr:col>2</xdr:col>
      <xdr:colOff>200025</xdr:colOff>
      <xdr:row>202</xdr:row>
      <xdr:rowOff>0</xdr:rowOff>
    </xdr:to>
    <xdr:sp>
      <xdr:nvSpPr>
        <xdr:cNvPr id="222" name="Line 232"/>
        <xdr:cNvSpPr>
          <a:spLocks/>
        </xdr:cNvSpPr>
      </xdr:nvSpPr>
      <xdr:spPr>
        <a:xfrm>
          <a:off x="981075" y="41224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128</xdr:row>
      <xdr:rowOff>0</xdr:rowOff>
    </xdr:from>
    <xdr:to>
      <xdr:col>2</xdr:col>
      <xdr:colOff>200025</xdr:colOff>
      <xdr:row>128</xdr:row>
      <xdr:rowOff>0</xdr:rowOff>
    </xdr:to>
    <xdr:sp>
      <xdr:nvSpPr>
        <xdr:cNvPr id="223" name="Line 233"/>
        <xdr:cNvSpPr>
          <a:spLocks/>
        </xdr:cNvSpPr>
      </xdr:nvSpPr>
      <xdr:spPr>
        <a:xfrm>
          <a:off x="981075" y="25841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129</xdr:row>
      <xdr:rowOff>0</xdr:rowOff>
    </xdr:to>
    <xdr:sp>
      <xdr:nvSpPr>
        <xdr:cNvPr id="224" name="Line 234"/>
        <xdr:cNvSpPr>
          <a:spLocks/>
        </xdr:cNvSpPr>
      </xdr:nvSpPr>
      <xdr:spPr>
        <a:xfrm>
          <a:off x="6791325" y="260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129</xdr:row>
      <xdr:rowOff>0</xdr:rowOff>
    </xdr:to>
    <xdr:sp>
      <xdr:nvSpPr>
        <xdr:cNvPr id="225" name="Line 235"/>
        <xdr:cNvSpPr>
          <a:spLocks/>
        </xdr:cNvSpPr>
      </xdr:nvSpPr>
      <xdr:spPr>
        <a:xfrm>
          <a:off x="6791325" y="260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129</xdr:row>
      <xdr:rowOff>0</xdr:rowOff>
    </xdr:to>
    <xdr:sp>
      <xdr:nvSpPr>
        <xdr:cNvPr id="226" name="Line 236"/>
        <xdr:cNvSpPr>
          <a:spLocks/>
        </xdr:cNvSpPr>
      </xdr:nvSpPr>
      <xdr:spPr>
        <a:xfrm>
          <a:off x="6791325" y="260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129</xdr:row>
      <xdr:rowOff>0</xdr:rowOff>
    </xdr:to>
    <xdr:sp>
      <xdr:nvSpPr>
        <xdr:cNvPr id="227" name="Line 237"/>
        <xdr:cNvSpPr>
          <a:spLocks/>
        </xdr:cNvSpPr>
      </xdr:nvSpPr>
      <xdr:spPr>
        <a:xfrm>
          <a:off x="6791325" y="260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151</xdr:row>
      <xdr:rowOff>0</xdr:rowOff>
    </xdr:from>
    <xdr:to>
      <xdr:col>5</xdr:col>
      <xdr:colOff>504825</xdr:colOff>
      <xdr:row>151</xdr:row>
      <xdr:rowOff>0</xdr:rowOff>
    </xdr:to>
    <xdr:sp>
      <xdr:nvSpPr>
        <xdr:cNvPr id="228" name="Line 238"/>
        <xdr:cNvSpPr>
          <a:spLocks/>
        </xdr:cNvSpPr>
      </xdr:nvSpPr>
      <xdr:spPr>
        <a:xfrm>
          <a:off x="5981700" y="305371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82</xdr:row>
      <xdr:rowOff>0</xdr:rowOff>
    </xdr:from>
    <xdr:to>
      <xdr:col>2</xdr:col>
      <xdr:colOff>142875</xdr:colOff>
      <xdr:row>82</xdr:row>
      <xdr:rowOff>0</xdr:rowOff>
    </xdr:to>
    <xdr:sp>
      <xdr:nvSpPr>
        <xdr:cNvPr id="229" name="Line 239"/>
        <xdr:cNvSpPr>
          <a:spLocks/>
        </xdr:cNvSpPr>
      </xdr:nvSpPr>
      <xdr:spPr>
        <a:xfrm>
          <a:off x="942975" y="16259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225</xdr:row>
      <xdr:rowOff>0</xdr:rowOff>
    </xdr:from>
    <xdr:to>
      <xdr:col>2</xdr:col>
      <xdr:colOff>200025</xdr:colOff>
      <xdr:row>225</xdr:row>
      <xdr:rowOff>0</xdr:rowOff>
    </xdr:to>
    <xdr:sp>
      <xdr:nvSpPr>
        <xdr:cNvPr id="230" name="Line 240"/>
        <xdr:cNvSpPr>
          <a:spLocks/>
        </xdr:cNvSpPr>
      </xdr:nvSpPr>
      <xdr:spPr>
        <a:xfrm>
          <a:off x="981075" y="45748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225</xdr:row>
      <xdr:rowOff>0</xdr:rowOff>
    </xdr:from>
    <xdr:to>
      <xdr:col>2</xdr:col>
      <xdr:colOff>200025</xdr:colOff>
      <xdr:row>225</xdr:row>
      <xdr:rowOff>0</xdr:rowOff>
    </xdr:to>
    <xdr:sp>
      <xdr:nvSpPr>
        <xdr:cNvPr id="231" name="Line 241"/>
        <xdr:cNvSpPr>
          <a:spLocks/>
        </xdr:cNvSpPr>
      </xdr:nvSpPr>
      <xdr:spPr>
        <a:xfrm>
          <a:off x="981075" y="45748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sp>
      <xdr:nvSpPr>
        <xdr:cNvPr id="232" name="Line 242"/>
        <xdr:cNvSpPr>
          <a:spLocks/>
        </xdr:cNvSpPr>
      </xdr:nvSpPr>
      <xdr:spPr>
        <a:xfrm>
          <a:off x="6791325" y="375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185</xdr:row>
      <xdr:rowOff>0</xdr:rowOff>
    </xdr:from>
    <xdr:to>
      <xdr:col>3</xdr:col>
      <xdr:colOff>504825</xdr:colOff>
      <xdr:row>185</xdr:row>
      <xdr:rowOff>0</xdr:rowOff>
    </xdr:to>
    <xdr:sp>
      <xdr:nvSpPr>
        <xdr:cNvPr id="233" name="Line 243"/>
        <xdr:cNvSpPr>
          <a:spLocks/>
        </xdr:cNvSpPr>
      </xdr:nvSpPr>
      <xdr:spPr>
        <a:xfrm>
          <a:off x="4019550" y="3755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185</xdr:row>
      <xdr:rowOff>0</xdr:rowOff>
    </xdr:from>
    <xdr:to>
      <xdr:col>5</xdr:col>
      <xdr:colOff>504825</xdr:colOff>
      <xdr:row>185</xdr:row>
      <xdr:rowOff>0</xdr:rowOff>
    </xdr:to>
    <xdr:sp>
      <xdr:nvSpPr>
        <xdr:cNvPr id="234" name="Line 244"/>
        <xdr:cNvSpPr>
          <a:spLocks/>
        </xdr:cNvSpPr>
      </xdr:nvSpPr>
      <xdr:spPr>
        <a:xfrm>
          <a:off x="5981700" y="3755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185</xdr:row>
      <xdr:rowOff>0</xdr:rowOff>
    </xdr:to>
    <xdr:sp>
      <xdr:nvSpPr>
        <xdr:cNvPr id="235" name="Line 245"/>
        <xdr:cNvSpPr>
          <a:spLocks/>
        </xdr:cNvSpPr>
      </xdr:nvSpPr>
      <xdr:spPr>
        <a:xfrm>
          <a:off x="6791325" y="375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185</xdr:row>
      <xdr:rowOff>0</xdr:rowOff>
    </xdr:from>
    <xdr:to>
      <xdr:col>5</xdr:col>
      <xdr:colOff>504825</xdr:colOff>
      <xdr:row>185</xdr:row>
      <xdr:rowOff>0</xdr:rowOff>
    </xdr:to>
    <xdr:sp>
      <xdr:nvSpPr>
        <xdr:cNvPr id="236" name="Line 246"/>
        <xdr:cNvSpPr>
          <a:spLocks/>
        </xdr:cNvSpPr>
      </xdr:nvSpPr>
      <xdr:spPr>
        <a:xfrm>
          <a:off x="5981700" y="3755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145</xdr:row>
      <xdr:rowOff>0</xdr:rowOff>
    </xdr:from>
    <xdr:to>
      <xdr:col>2</xdr:col>
      <xdr:colOff>200025</xdr:colOff>
      <xdr:row>145</xdr:row>
      <xdr:rowOff>0</xdr:rowOff>
    </xdr:to>
    <xdr:sp>
      <xdr:nvSpPr>
        <xdr:cNvPr id="237" name="Line 247"/>
        <xdr:cNvSpPr>
          <a:spLocks/>
        </xdr:cNvSpPr>
      </xdr:nvSpPr>
      <xdr:spPr>
        <a:xfrm>
          <a:off x="981075" y="29003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238" name="Line 248"/>
        <xdr:cNvSpPr>
          <a:spLocks/>
        </xdr:cNvSpPr>
      </xdr:nvSpPr>
      <xdr:spPr>
        <a:xfrm>
          <a:off x="6791325" y="3053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151</xdr:row>
      <xdr:rowOff>0</xdr:rowOff>
    </xdr:to>
    <xdr:sp>
      <xdr:nvSpPr>
        <xdr:cNvPr id="239" name="Line 249"/>
        <xdr:cNvSpPr>
          <a:spLocks/>
        </xdr:cNvSpPr>
      </xdr:nvSpPr>
      <xdr:spPr>
        <a:xfrm>
          <a:off x="6791325" y="3053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49</xdr:row>
      <xdr:rowOff>85725</xdr:rowOff>
    </xdr:from>
    <xdr:to>
      <xdr:col>2</xdr:col>
      <xdr:colOff>142875</xdr:colOff>
      <xdr:row>49</xdr:row>
      <xdr:rowOff>85725</xdr:rowOff>
    </xdr:to>
    <xdr:sp>
      <xdr:nvSpPr>
        <xdr:cNvPr id="240" name="Line 250"/>
        <xdr:cNvSpPr>
          <a:spLocks/>
        </xdr:cNvSpPr>
      </xdr:nvSpPr>
      <xdr:spPr>
        <a:xfrm>
          <a:off x="942975" y="9772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160</xdr:row>
      <xdr:rowOff>114300</xdr:rowOff>
    </xdr:from>
    <xdr:to>
      <xdr:col>2</xdr:col>
      <xdr:colOff>200025</xdr:colOff>
      <xdr:row>160</xdr:row>
      <xdr:rowOff>114300</xdr:rowOff>
    </xdr:to>
    <xdr:sp>
      <xdr:nvSpPr>
        <xdr:cNvPr id="241" name="Line 251"/>
        <xdr:cNvSpPr>
          <a:spLocks/>
        </xdr:cNvSpPr>
      </xdr:nvSpPr>
      <xdr:spPr>
        <a:xfrm>
          <a:off x="981075" y="32346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172</xdr:row>
      <xdr:rowOff>114300</xdr:rowOff>
    </xdr:from>
    <xdr:to>
      <xdr:col>2</xdr:col>
      <xdr:colOff>200025</xdr:colOff>
      <xdr:row>172</xdr:row>
      <xdr:rowOff>114300</xdr:rowOff>
    </xdr:to>
    <xdr:sp>
      <xdr:nvSpPr>
        <xdr:cNvPr id="242" name="Line 252"/>
        <xdr:cNvSpPr>
          <a:spLocks/>
        </xdr:cNvSpPr>
      </xdr:nvSpPr>
      <xdr:spPr>
        <a:xfrm>
          <a:off x="981075" y="34775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173</xdr:row>
      <xdr:rowOff>0</xdr:rowOff>
    </xdr:from>
    <xdr:to>
      <xdr:col>2</xdr:col>
      <xdr:colOff>200025</xdr:colOff>
      <xdr:row>173</xdr:row>
      <xdr:rowOff>0</xdr:rowOff>
    </xdr:to>
    <xdr:sp>
      <xdr:nvSpPr>
        <xdr:cNvPr id="243" name="Line 253"/>
        <xdr:cNvSpPr>
          <a:spLocks/>
        </xdr:cNvSpPr>
      </xdr:nvSpPr>
      <xdr:spPr>
        <a:xfrm>
          <a:off x="981075" y="34842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173</xdr:row>
      <xdr:rowOff>0</xdr:rowOff>
    </xdr:from>
    <xdr:to>
      <xdr:col>2</xdr:col>
      <xdr:colOff>200025</xdr:colOff>
      <xdr:row>173</xdr:row>
      <xdr:rowOff>0</xdr:rowOff>
    </xdr:to>
    <xdr:sp>
      <xdr:nvSpPr>
        <xdr:cNvPr id="244" name="Line 254"/>
        <xdr:cNvSpPr>
          <a:spLocks/>
        </xdr:cNvSpPr>
      </xdr:nvSpPr>
      <xdr:spPr>
        <a:xfrm>
          <a:off x="981075" y="348424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156</xdr:row>
      <xdr:rowOff>114300</xdr:rowOff>
    </xdr:from>
    <xdr:to>
      <xdr:col>2</xdr:col>
      <xdr:colOff>200025</xdr:colOff>
      <xdr:row>156</xdr:row>
      <xdr:rowOff>114300</xdr:rowOff>
    </xdr:to>
    <xdr:sp>
      <xdr:nvSpPr>
        <xdr:cNvPr id="245" name="Line 255"/>
        <xdr:cNvSpPr>
          <a:spLocks/>
        </xdr:cNvSpPr>
      </xdr:nvSpPr>
      <xdr:spPr>
        <a:xfrm>
          <a:off x="981075" y="31623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161</xdr:row>
      <xdr:rowOff>0</xdr:rowOff>
    </xdr:from>
    <xdr:to>
      <xdr:col>2</xdr:col>
      <xdr:colOff>200025</xdr:colOff>
      <xdr:row>161</xdr:row>
      <xdr:rowOff>0</xdr:rowOff>
    </xdr:to>
    <xdr:sp>
      <xdr:nvSpPr>
        <xdr:cNvPr id="246" name="Line 256"/>
        <xdr:cNvSpPr>
          <a:spLocks/>
        </xdr:cNvSpPr>
      </xdr:nvSpPr>
      <xdr:spPr>
        <a:xfrm>
          <a:off x="981075" y="324135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174</xdr:row>
      <xdr:rowOff>0</xdr:rowOff>
    </xdr:from>
    <xdr:to>
      <xdr:col>2</xdr:col>
      <xdr:colOff>200025</xdr:colOff>
      <xdr:row>174</xdr:row>
      <xdr:rowOff>0</xdr:rowOff>
    </xdr:to>
    <xdr:sp>
      <xdr:nvSpPr>
        <xdr:cNvPr id="247" name="Line 257"/>
        <xdr:cNvSpPr>
          <a:spLocks/>
        </xdr:cNvSpPr>
      </xdr:nvSpPr>
      <xdr:spPr>
        <a:xfrm>
          <a:off x="981075" y="35052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174</xdr:row>
      <xdr:rowOff>0</xdr:rowOff>
    </xdr:from>
    <xdr:to>
      <xdr:col>2</xdr:col>
      <xdr:colOff>200025</xdr:colOff>
      <xdr:row>174</xdr:row>
      <xdr:rowOff>0</xdr:rowOff>
    </xdr:to>
    <xdr:sp>
      <xdr:nvSpPr>
        <xdr:cNvPr id="248" name="Line 258"/>
        <xdr:cNvSpPr>
          <a:spLocks/>
        </xdr:cNvSpPr>
      </xdr:nvSpPr>
      <xdr:spPr>
        <a:xfrm>
          <a:off x="981075" y="35052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174</xdr:row>
      <xdr:rowOff>0</xdr:rowOff>
    </xdr:from>
    <xdr:to>
      <xdr:col>2</xdr:col>
      <xdr:colOff>200025</xdr:colOff>
      <xdr:row>174</xdr:row>
      <xdr:rowOff>0</xdr:rowOff>
    </xdr:to>
    <xdr:sp>
      <xdr:nvSpPr>
        <xdr:cNvPr id="249" name="Line 259"/>
        <xdr:cNvSpPr>
          <a:spLocks/>
        </xdr:cNvSpPr>
      </xdr:nvSpPr>
      <xdr:spPr>
        <a:xfrm>
          <a:off x="981075" y="35052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178</xdr:row>
      <xdr:rowOff>0</xdr:rowOff>
    </xdr:to>
    <xdr:sp>
      <xdr:nvSpPr>
        <xdr:cNvPr id="250" name="Line 260"/>
        <xdr:cNvSpPr>
          <a:spLocks/>
        </xdr:cNvSpPr>
      </xdr:nvSpPr>
      <xdr:spPr>
        <a:xfrm>
          <a:off x="6791325" y="3606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178</xdr:row>
      <xdr:rowOff>0</xdr:rowOff>
    </xdr:from>
    <xdr:to>
      <xdr:col>3</xdr:col>
      <xdr:colOff>504825</xdr:colOff>
      <xdr:row>178</xdr:row>
      <xdr:rowOff>0</xdr:rowOff>
    </xdr:to>
    <xdr:sp>
      <xdr:nvSpPr>
        <xdr:cNvPr id="251" name="Line 261"/>
        <xdr:cNvSpPr>
          <a:spLocks/>
        </xdr:cNvSpPr>
      </xdr:nvSpPr>
      <xdr:spPr>
        <a:xfrm>
          <a:off x="4019550" y="36061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178</xdr:row>
      <xdr:rowOff>0</xdr:rowOff>
    </xdr:from>
    <xdr:to>
      <xdr:col>5</xdr:col>
      <xdr:colOff>504825</xdr:colOff>
      <xdr:row>178</xdr:row>
      <xdr:rowOff>0</xdr:rowOff>
    </xdr:to>
    <xdr:sp>
      <xdr:nvSpPr>
        <xdr:cNvPr id="252" name="Line 262"/>
        <xdr:cNvSpPr>
          <a:spLocks/>
        </xdr:cNvSpPr>
      </xdr:nvSpPr>
      <xdr:spPr>
        <a:xfrm>
          <a:off x="5981700" y="36061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164</xdr:row>
      <xdr:rowOff>114300</xdr:rowOff>
    </xdr:from>
    <xdr:to>
      <xdr:col>2</xdr:col>
      <xdr:colOff>200025</xdr:colOff>
      <xdr:row>164</xdr:row>
      <xdr:rowOff>114300</xdr:rowOff>
    </xdr:to>
    <xdr:sp>
      <xdr:nvSpPr>
        <xdr:cNvPr id="253" name="Line 263"/>
        <xdr:cNvSpPr>
          <a:spLocks/>
        </xdr:cNvSpPr>
      </xdr:nvSpPr>
      <xdr:spPr>
        <a:xfrm>
          <a:off x="981075" y="33070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165</xdr:row>
      <xdr:rowOff>0</xdr:rowOff>
    </xdr:from>
    <xdr:to>
      <xdr:col>2</xdr:col>
      <xdr:colOff>200025</xdr:colOff>
      <xdr:row>165</xdr:row>
      <xdr:rowOff>0</xdr:rowOff>
    </xdr:to>
    <xdr:sp>
      <xdr:nvSpPr>
        <xdr:cNvPr id="254" name="Line 264"/>
        <xdr:cNvSpPr>
          <a:spLocks/>
        </xdr:cNvSpPr>
      </xdr:nvSpPr>
      <xdr:spPr>
        <a:xfrm>
          <a:off x="981075" y="33137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255" name="Line 265"/>
        <xdr:cNvSpPr>
          <a:spLocks/>
        </xdr:cNvSpPr>
      </xdr:nvSpPr>
      <xdr:spPr>
        <a:xfrm>
          <a:off x="6791325" y="3505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174</xdr:row>
      <xdr:rowOff>0</xdr:rowOff>
    </xdr:from>
    <xdr:to>
      <xdr:col>3</xdr:col>
      <xdr:colOff>504825</xdr:colOff>
      <xdr:row>174</xdr:row>
      <xdr:rowOff>0</xdr:rowOff>
    </xdr:to>
    <xdr:sp>
      <xdr:nvSpPr>
        <xdr:cNvPr id="256" name="Line 266"/>
        <xdr:cNvSpPr>
          <a:spLocks/>
        </xdr:cNvSpPr>
      </xdr:nvSpPr>
      <xdr:spPr>
        <a:xfrm>
          <a:off x="4019550" y="3505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174</xdr:row>
      <xdr:rowOff>0</xdr:rowOff>
    </xdr:from>
    <xdr:to>
      <xdr:col>5</xdr:col>
      <xdr:colOff>504825</xdr:colOff>
      <xdr:row>174</xdr:row>
      <xdr:rowOff>0</xdr:rowOff>
    </xdr:to>
    <xdr:sp>
      <xdr:nvSpPr>
        <xdr:cNvPr id="257" name="Line 267"/>
        <xdr:cNvSpPr>
          <a:spLocks/>
        </xdr:cNvSpPr>
      </xdr:nvSpPr>
      <xdr:spPr>
        <a:xfrm>
          <a:off x="5981700" y="3505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258" name="Line 268"/>
        <xdr:cNvSpPr>
          <a:spLocks/>
        </xdr:cNvSpPr>
      </xdr:nvSpPr>
      <xdr:spPr>
        <a:xfrm>
          <a:off x="6791325" y="3505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174</xdr:row>
      <xdr:rowOff>0</xdr:rowOff>
    </xdr:from>
    <xdr:to>
      <xdr:col>5</xdr:col>
      <xdr:colOff>504825</xdr:colOff>
      <xdr:row>174</xdr:row>
      <xdr:rowOff>0</xdr:rowOff>
    </xdr:to>
    <xdr:sp>
      <xdr:nvSpPr>
        <xdr:cNvPr id="259" name="Line 269"/>
        <xdr:cNvSpPr>
          <a:spLocks/>
        </xdr:cNvSpPr>
      </xdr:nvSpPr>
      <xdr:spPr>
        <a:xfrm>
          <a:off x="5981700" y="3505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174</xdr:row>
      <xdr:rowOff>0</xdr:rowOff>
    </xdr:from>
    <xdr:to>
      <xdr:col>4</xdr:col>
      <xdr:colOff>504825</xdr:colOff>
      <xdr:row>174</xdr:row>
      <xdr:rowOff>0</xdr:rowOff>
    </xdr:to>
    <xdr:sp>
      <xdr:nvSpPr>
        <xdr:cNvPr id="260" name="Line 270"/>
        <xdr:cNvSpPr>
          <a:spLocks/>
        </xdr:cNvSpPr>
      </xdr:nvSpPr>
      <xdr:spPr>
        <a:xfrm>
          <a:off x="5000625" y="3505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174</xdr:row>
      <xdr:rowOff>0</xdr:rowOff>
    </xdr:from>
    <xdr:to>
      <xdr:col>5</xdr:col>
      <xdr:colOff>504825</xdr:colOff>
      <xdr:row>174</xdr:row>
      <xdr:rowOff>0</xdr:rowOff>
    </xdr:to>
    <xdr:sp>
      <xdr:nvSpPr>
        <xdr:cNvPr id="261" name="Line 271"/>
        <xdr:cNvSpPr>
          <a:spLocks/>
        </xdr:cNvSpPr>
      </xdr:nvSpPr>
      <xdr:spPr>
        <a:xfrm>
          <a:off x="5981700" y="3505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262" name="Line 272"/>
        <xdr:cNvSpPr>
          <a:spLocks/>
        </xdr:cNvSpPr>
      </xdr:nvSpPr>
      <xdr:spPr>
        <a:xfrm>
          <a:off x="6791325" y="3505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56</xdr:row>
      <xdr:rowOff>0</xdr:rowOff>
    </xdr:from>
    <xdr:to>
      <xdr:col>2</xdr:col>
      <xdr:colOff>133350</xdr:colOff>
      <xdr:row>56</xdr:row>
      <xdr:rowOff>0</xdr:rowOff>
    </xdr:to>
    <xdr:sp>
      <xdr:nvSpPr>
        <xdr:cNvPr id="263" name="Line 273"/>
        <xdr:cNvSpPr>
          <a:spLocks/>
        </xdr:cNvSpPr>
      </xdr:nvSpPr>
      <xdr:spPr>
        <a:xfrm>
          <a:off x="933450" y="1095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157</xdr:row>
      <xdr:rowOff>114300</xdr:rowOff>
    </xdr:from>
    <xdr:to>
      <xdr:col>2</xdr:col>
      <xdr:colOff>200025</xdr:colOff>
      <xdr:row>157</xdr:row>
      <xdr:rowOff>114300</xdr:rowOff>
    </xdr:to>
    <xdr:sp>
      <xdr:nvSpPr>
        <xdr:cNvPr id="264" name="Line 274"/>
        <xdr:cNvSpPr>
          <a:spLocks/>
        </xdr:cNvSpPr>
      </xdr:nvSpPr>
      <xdr:spPr>
        <a:xfrm>
          <a:off x="981075" y="31803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175</xdr:row>
      <xdr:rowOff>0</xdr:rowOff>
    </xdr:to>
    <xdr:sp>
      <xdr:nvSpPr>
        <xdr:cNvPr id="265" name="Line 275"/>
        <xdr:cNvSpPr>
          <a:spLocks/>
        </xdr:cNvSpPr>
      </xdr:nvSpPr>
      <xdr:spPr>
        <a:xfrm>
          <a:off x="6791325" y="3550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390525</xdr:colOff>
      <xdr:row>175</xdr:row>
      <xdr:rowOff>0</xdr:rowOff>
    </xdr:from>
    <xdr:to>
      <xdr:col>3</xdr:col>
      <xdr:colOff>504825</xdr:colOff>
      <xdr:row>175</xdr:row>
      <xdr:rowOff>0</xdr:rowOff>
    </xdr:to>
    <xdr:sp>
      <xdr:nvSpPr>
        <xdr:cNvPr id="266" name="Line 276"/>
        <xdr:cNvSpPr>
          <a:spLocks/>
        </xdr:cNvSpPr>
      </xdr:nvSpPr>
      <xdr:spPr>
        <a:xfrm>
          <a:off x="4019550" y="35509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390525</xdr:colOff>
      <xdr:row>175</xdr:row>
      <xdr:rowOff>0</xdr:rowOff>
    </xdr:from>
    <xdr:to>
      <xdr:col>5</xdr:col>
      <xdr:colOff>504825</xdr:colOff>
      <xdr:row>175</xdr:row>
      <xdr:rowOff>0</xdr:rowOff>
    </xdr:to>
    <xdr:sp>
      <xdr:nvSpPr>
        <xdr:cNvPr id="267" name="Line 277"/>
        <xdr:cNvSpPr>
          <a:spLocks/>
        </xdr:cNvSpPr>
      </xdr:nvSpPr>
      <xdr:spPr>
        <a:xfrm>
          <a:off x="5981700" y="35509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179</xdr:row>
      <xdr:rowOff>114300</xdr:rowOff>
    </xdr:from>
    <xdr:to>
      <xdr:col>2</xdr:col>
      <xdr:colOff>200025</xdr:colOff>
      <xdr:row>179</xdr:row>
      <xdr:rowOff>114300</xdr:rowOff>
    </xdr:to>
    <xdr:sp>
      <xdr:nvSpPr>
        <xdr:cNvPr id="268" name="Line 278"/>
        <xdr:cNvSpPr>
          <a:spLocks/>
        </xdr:cNvSpPr>
      </xdr:nvSpPr>
      <xdr:spPr>
        <a:xfrm>
          <a:off x="981075" y="36356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130</xdr:row>
      <xdr:rowOff>114300</xdr:rowOff>
    </xdr:from>
    <xdr:to>
      <xdr:col>2</xdr:col>
      <xdr:colOff>200025</xdr:colOff>
      <xdr:row>130</xdr:row>
      <xdr:rowOff>114300</xdr:rowOff>
    </xdr:to>
    <xdr:sp>
      <xdr:nvSpPr>
        <xdr:cNvPr id="269" name="Line 279"/>
        <xdr:cNvSpPr>
          <a:spLocks/>
        </xdr:cNvSpPr>
      </xdr:nvSpPr>
      <xdr:spPr>
        <a:xfrm>
          <a:off x="981075" y="2632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104775</xdr:rowOff>
    </xdr:from>
    <xdr:to>
      <xdr:col>2</xdr:col>
      <xdr:colOff>190500</xdr:colOff>
      <xdr:row>13</xdr:row>
      <xdr:rowOff>104775</xdr:rowOff>
    </xdr:to>
    <xdr:sp>
      <xdr:nvSpPr>
        <xdr:cNvPr id="270" name="Line 280"/>
        <xdr:cNvSpPr>
          <a:spLocks/>
        </xdr:cNvSpPr>
      </xdr:nvSpPr>
      <xdr:spPr>
        <a:xfrm>
          <a:off x="962025" y="2981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0</xdr:rowOff>
    </xdr:from>
    <xdr:to>
      <xdr:col>2</xdr:col>
      <xdr:colOff>142875</xdr:colOff>
      <xdr:row>32</xdr:row>
      <xdr:rowOff>0</xdr:rowOff>
    </xdr:to>
    <xdr:sp>
      <xdr:nvSpPr>
        <xdr:cNvPr id="271" name="Line 281"/>
        <xdr:cNvSpPr>
          <a:spLocks/>
        </xdr:cNvSpPr>
      </xdr:nvSpPr>
      <xdr:spPr>
        <a:xfrm>
          <a:off x="942975" y="6438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69</xdr:row>
      <xdr:rowOff>85725</xdr:rowOff>
    </xdr:from>
    <xdr:to>
      <xdr:col>2</xdr:col>
      <xdr:colOff>142875</xdr:colOff>
      <xdr:row>69</xdr:row>
      <xdr:rowOff>85725</xdr:rowOff>
    </xdr:to>
    <xdr:sp>
      <xdr:nvSpPr>
        <xdr:cNvPr id="272" name="Line 282"/>
        <xdr:cNvSpPr>
          <a:spLocks/>
        </xdr:cNvSpPr>
      </xdr:nvSpPr>
      <xdr:spPr>
        <a:xfrm>
          <a:off x="942975" y="13515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82</xdr:row>
      <xdr:rowOff>85725</xdr:rowOff>
    </xdr:from>
    <xdr:to>
      <xdr:col>2</xdr:col>
      <xdr:colOff>142875</xdr:colOff>
      <xdr:row>82</xdr:row>
      <xdr:rowOff>85725</xdr:rowOff>
    </xdr:to>
    <xdr:sp>
      <xdr:nvSpPr>
        <xdr:cNvPr id="273" name="Line 283"/>
        <xdr:cNvSpPr>
          <a:spLocks/>
        </xdr:cNvSpPr>
      </xdr:nvSpPr>
      <xdr:spPr>
        <a:xfrm>
          <a:off x="942975" y="1634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152</xdr:row>
      <xdr:rowOff>0</xdr:rowOff>
    </xdr:from>
    <xdr:to>
      <xdr:col>2</xdr:col>
      <xdr:colOff>142875</xdr:colOff>
      <xdr:row>152</xdr:row>
      <xdr:rowOff>0</xdr:rowOff>
    </xdr:to>
    <xdr:sp>
      <xdr:nvSpPr>
        <xdr:cNvPr id="274" name="Line 284"/>
        <xdr:cNvSpPr>
          <a:spLocks/>
        </xdr:cNvSpPr>
      </xdr:nvSpPr>
      <xdr:spPr>
        <a:xfrm>
          <a:off x="942975" y="30718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152</xdr:row>
      <xdr:rowOff>85725</xdr:rowOff>
    </xdr:from>
    <xdr:to>
      <xdr:col>2</xdr:col>
      <xdr:colOff>142875</xdr:colOff>
      <xdr:row>152</xdr:row>
      <xdr:rowOff>85725</xdr:rowOff>
    </xdr:to>
    <xdr:sp>
      <xdr:nvSpPr>
        <xdr:cNvPr id="275" name="Line 285"/>
        <xdr:cNvSpPr>
          <a:spLocks/>
        </xdr:cNvSpPr>
      </xdr:nvSpPr>
      <xdr:spPr>
        <a:xfrm>
          <a:off x="942975" y="3080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176</xdr:row>
      <xdr:rowOff>114300</xdr:rowOff>
    </xdr:from>
    <xdr:to>
      <xdr:col>2</xdr:col>
      <xdr:colOff>200025</xdr:colOff>
      <xdr:row>176</xdr:row>
      <xdr:rowOff>114300</xdr:rowOff>
    </xdr:to>
    <xdr:sp>
      <xdr:nvSpPr>
        <xdr:cNvPr id="276" name="Line 286"/>
        <xdr:cNvSpPr>
          <a:spLocks/>
        </xdr:cNvSpPr>
      </xdr:nvSpPr>
      <xdr:spPr>
        <a:xfrm>
          <a:off x="981075" y="35804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277" name="Line 287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181</xdr:row>
      <xdr:rowOff>0</xdr:rowOff>
    </xdr:from>
    <xdr:to>
      <xdr:col>2</xdr:col>
      <xdr:colOff>200025</xdr:colOff>
      <xdr:row>181</xdr:row>
      <xdr:rowOff>0</xdr:rowOff>
    </xdr:to>
    <xdr:sp>
      <xdr:nvSpPr>
        <xdr:cNvPr id="278" name="Line 288"/>
        <xdr:cNvSpPr>
          <a:spLocks/>
        </xdr:cNvSpPr>
      </xdr:nvSpPr>
      <xdr:spPr>
        <a:xfrm>
          <a:off x="981075" y="368046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223</xdr:row>
      <xdr:rowOff>114300</xdr:rowOff>
    </xdr:from>
    <xdr:to>
      <xdr:col>2</xdr:col>
      <xdr:colOff>200025</xdr:colOff>
      <xdr:row>223</xdr:row>
      <xdr:rowOff>114300</xdr:rowOff>
    </xdr:to>
    <xdr:sp>
      <xdr:nvSpPr>
        <xdr:cNvPr id="279" name="Line 289"/>
        <xdr:cNvSpPr>
          <a:spLocks/>
        </xdr:cNvSpPr>
      </xdr:nvSpPr>
      <xdr:spPr>
        <a:xfrm>
          <a:off x="981075" y="45434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223</xdr:row>
      <xdr:rowOff>114300</xdr:rowOff>
    </xdr:from>
    <xdr:to>
      <xdr:col>2</xdr:col>
      <xdr:colOff>200025</xdr:colOff>
      <xdr:row>223</xdr:row>
      <xdr:rowOff>114300</xdr:rowOff>
    </xdr:to>
    <xdr:sp>
      <xdr:nvSpPr>
        <xdr:cNvPr id="280" name="Line 290"/>
        <xdr:cNvSpPr>
          <a:spLocks/>
        </xdr:cNvSpPr>
      </xdr:nvSpPr>
      <xdr:spPr>
        <a:xfrm>
          <a:off x="981075" y="45434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227</xdr:row>
      <xdr:rowOff>114300</xdr:rowOff>
    </xdr:from>
    <xdr:to>
      <xdr:col>2</xdr:col>
      <xdr:colOff>200025</xdr:colOff>
      <xdr:row>227</xdr:row>
      <xdr:rowOff>114300</xdr:rowOff>
    </xdr:to>
    <xdr:sp>
      <xdr:nvSpPr>
        <xdr:cNvPr id="281" name="Line 291"/>
        <xdr:cNvSpPr>
          <a:spLocks/>
        </xdr:cNvSpPr>
      </xdr:nvSpPr>
      <xdr:spPr>
        <a:xfrm>
          <a:off x="981075" y="46167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227</xdr:row>
      <xdr:rowOff>114300</xdr:rowOff>
    </xdr:from>
    <xdr:to>
      <xdr:col>2</xdr:col>
      <xdr:colOff>200025</xdr:colOff>
      <xdr:row>227</xdr:row>
      <xdr:rowOff>114300</xdr:rowOff>
    </xdr:to>
    <xdr:sp>
      <xdr:nvSpPr>
        <xdr:cNvPr id="282" name="Line 292"/>
        <xdr:cNvSpPr>
          <a:spLocks/>
        </xdr:cNvSpPr>
      </xdr:nvSpPr>
      <xdr:spPr>
        <a:xfrm>
          <a:off x="981075" y="46167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186</xdr:row>
      <xdr:rowOff>114300</xdr:rowOff>
    </xdr:from>
    <xdr:to>
      <xdr:col>2</xdr:col>
      <xdr:colOff>200025</xdr:colOff>
      <xdr:row>186</xdr:row>
      <xdr:rowOff>114300</xdr:rowOff>
    </xdr:to>
    <xdr:sp>
      <xdr:nvSpPr>
        <xdr:cNvPr id="283" name="Line 293"/>
        <xdr:cNvSpPr>
          <a:spLocks/>
        </xdr:cNvSpPr>
      </xdr:nvSpPr>
      <xdr:spPr>
        <a:xfrm>
          <a:off x="981075" y="3785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228</xdr:row>
      <xdr:rowOff>114300</xdr:rowOff>
    </xdr:from>
    <xdr:to>
      <xdr:col>2</xdr:col>
      <xdr:colOff>200025</xdr:colOff>
      <xdr:row>228</xdr:row>
      <xdr:rowOff>114300</xdr:rowOff>
    </xdr:to>
    <xdr:sp>
      <xdr:nvSpPr>
        <xdr:cNvPr id="284" name="Line 294"/>
        <xdr:cNvSpPr>
          <a:spLocks/>
        </xdr:cNvSpPr>
      </xdr:nvSpPr>
      <xdr:spPr>
        <a:xfrm>
          <a:off x="981075" y="463200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130</xdr:row>
      <xdr:rowOff>114300</xdr:rowOff>
    </xdr:from>
    <xdr:to>
      <xdr:col>2</xdr:col>
      <xdr:colOff>200025</xdr:colOff>
      <xdr:row>130</xdr:row>
      <xdr:rowOff>114300</xdr:rowOff>
    </xdr:to>
    <xdr:sp>
      <xdr:nvSpPr>
        <xdr:cNvPr id="285" name="Line 295"/>
        <xdr:cNvSpPr>
          <a:spLocks/>
        </xdr:cNvSpPr>
      </xdr:nvSpPr>
      <xdr:spPr>
        <a:xfrm>
          <a:off x="981075" y="26327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133</xdr:row>
      <xdr:rowOff>0</xdr:rowOff>
    </xdr:from>
    <xdr:to>
      <xdr:col>2</xdr:col>
      <xdr:colOff>200025</xdr:colOff>
      <xdr:row>133</xdr:row>
      <xdr:rowOff>0</xdr:rowOff>
    </xdr:to>
    <xdr:sp>
      <xdr:nvSpPr>
        <xdr:cNvPr id="286" name="Line 296"/>
        <xdr:cNvSpPr>
          <a:spLocks/>
        </xdr:cNvSpPr>
      </xdr:nvSpPr>
      <xdr:spPr>
        <a:xfrm>
          <a:off x="981075" y="26765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89</xdr:row>
      <xdr:rowOff>85725</xdr:rowOff>
    </xdr:from>
    <xdr:to>
      <xdr:col>2</xdr:col>
      <xdr:colOff>142875</xdr:colOff>
      <xdr:row>89</xdr:row>
      <xdr:rowOff>85725</xdr:rowOff>
    </xdr:to>
    <xdr:sp>
      <xdr:nvSpPr>
        <xdr:cNvPr id="287" name="Line 297"/>
        <xdr:cNvSpPr>
          <a:spLocks/>
        </xdr:cNvSpPr>
      </xdr:nvSpPr>
      <xdr:spPr>
        <a:xfrm>
          <a:off x="942975" y="17973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92</xdr:row>
      <xdr:rowOff>85725</xdr:rowOff>
    </xdr:from>
    <xdr:to>
      <xdr:col>2</xdr:col>
      <xdr:colOff>142875</xdr:colOff>
      <xdr:row>92</xdr:row>
      <xdr:rowOff>85725</xdr:rowOff>
    </xdr:to>
    <xdr:sp>
      <xdr:nvSpPr>
        <xdr:cNvPr id="288" name="Line 298"/>
        <xdr:cNvSpPr>
          <a:spLocks/>
        </xdr:cNvSpPr>
      </xdr:nvSpPr>
      <xdr:spPr>
        <a:xfrm>
          <a:off x="942975" y="18792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234</xdr:row>
      <xdr:rowOff>104775</xdr:rowOff>
    </xdr:from>
    <xdr:to>
      <xdr:col>2</xdr:col>
      <xdr:colOff>219075</xdr:colOff>
      <xdr:row>234</xdr:row>
      <xdr:rowOff>104775</xdr:rowOff>
    </xdr:to>
    <xdr:sp>
      <xdr:nvSpPr>
        <xdr:cNvPr id="289" name="Line 299"/>
        <xdr:cNvSpPr>
          <a:spLocks/>
        </xdr:cNvSpPr>
      </xdr:nvSpPr>
      <xdr:spPr>
        <a:xfrm>
          <a:off x="1000125" y="47577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235</xdr:row>
      <xdr:rowOff>104775</xdr:rowOff>
    </xdr:from>
    <xdr:to>
      <xdr:col>2</xdr:col>
      <xdr:colOff>219075</xdr:colOff>
      <xdr:row>235</xdr:row>
      <xdr:rowOff>104775</xdr:rowOff>
    </xdr:to>
    <xdr:sp>
      <xdr:nvSpPr>
        <xdr:cNvPr id="290" name="Line 300"/>
        <xdr:cNvSpPr>
          <a:spLocks/>
        </xdr:cNvSpPr>
      </xdr:nvSpPr>
      <xdr:spPr>
        <a:xfrm>
          <a:off x="1000125" y="47815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238</xdr:row>
      <xdr:rowOff>104775</xdr:rowOff>
    </xdr:from>
    <xdr:to>
      <xdr:col>2</xdr:col>
      <xdr:colOff>219075</xdr:colOff>
      <xdr:row>238</xdr:row>
      <xdr:rowOff>104775</xdr:rowOff>
    </xdr:to>
    <xdr:sp>
      <xdr:nvSpPr>
        <xdr:cNvPr id="291" name="Line 301"/>
        <xdr:cNvSpPr>
          <a:spLocks/>
        </xdr:cNvSpPr>
      </xdr:nvSpPr>
      <xdr:spPr>
        <a:xfrm>
          <a:off x="1000125" y="48301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62</xdr:row>
      <xdr:rowOff>114300</xdr:rowOff>
    </xdr:from>
    <xdr:to>
      <xdr:col>2</xdr:col>
      <xdr:colOff>200025</xdr:colOff>
      <xdr:row>62</xdr:row>
      <xdr:rowOff>114300</xdr:rowOff>
    </xdr:to>
    <xdr:sp>
      <xdr:nvSpPr>
        <xdr:cNvPr id="292" name="Line 302"/>
        <xdr:cNvSpPr>
          <a:spLocks/>
        </xdr:cNvSpPr>
      </xdr:nvSpPr>
      <xdr:spPr>
        <a:xfrm>
          <a:off x="981075" y="12277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65</xdr:row>
      <xdr:rowOff>85725</xdr:rowOff>
    </xdr:from>
    <xdr:to>
      <xdr:col>2</xdr:col>
      <xdr:colOff>142875</xdr:colOff>
      <xdr:row>65</xdr:row>
      <xdr:rowOff>85725</xdr:rowOff>
    </xdr:to>
    <xdr:sp>
      <xdr:nvSpPr>
        <xdr:cNvPr id="293" name="Line 303"/>
        <xdr:cNvSpPr>
          <a:spLocks/>
        </xdr:cNvSpPr>
      </xdr:nvSpPr>
      <xdr:spPr>
        <a:xfrm>
          <a:off x="942975" y="12792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85</xdr:row>
      <xdr:rowOff>0</xdr:rowOff>
    </xdr:from>
    <xdr:to>
      <xdr:col>2</xdr:col>
      <xdr:colOff>142875</xdr:colOff>
      <xdr:row>85</xdr:row>
      <xdr:rowOff>0</xdr:rowOff>
    </xdr:to>
    <xdr:sp>
      <xdr:nvSpPr>
        <xdr:cNvPr id="294" name="Line 304"/>
        <xdr:cNvSpPr>
          <a:spLocks/>
        </xdr:cNvSpPr>
      </xdr:nvSpPr>
      <xdr:spPr>
        <a:xfrm>
          <a:off x="942975" y="1681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85</xdr:row>
      <xdr:rowOff>85725</xdr:rowOff>
    </xdr:from>
    <xdr:to>
      <xdr:col>2</xdr:col>
      <xdr:colOff>142875</xdr:colOff>
      <xdr:row>85</xdr:row>
      <xdr:rowOff>85725</xdr:rowOff>
    </xdr:to>
    <xdr:sp>
      <xdr:nvSpPr>
        <xdr:cNvPr id="295" name="Line 305"/>
        <xdr:cNvSpPr>
          <a:spLocks/>
        </xdr:cNvSpPr>
      </xdr:nvSpPr>
      <xdr:spPr>
        <a:xfrm>
          <a:off x="942975" y="16897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114300</xdr:rowOff>
    </xdr:from>
    <xdr:to>
      <xdr:col>2</xdr:col>
      <xdr:colOff>200025</xdr:colOff>
      <xdr:row>52</xdr:row>
      <xdr:rowOff>114300</xdr:rowOff>
    </xdr:to>
    <xdr:sp>
      <xdr:nvSpPr>
        <xdr:cNvPr id="296" name="Line 306"/>
        <xdr:cNvSpPr>
          <a:spLocks/>
        </xdr:cNvSpPr>
      </xdr:nvSpPr>
      <xdr:spPr>
        <a:xfrm>
          <a:off x="981075" y="10344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73</xdr:row>
      <xdr:rowOff>0</xdr:rowOff>
    </xdr:from>
    <xdr:to>
      <xdr:col>2</xdr:col>
      <xdr:colOff>142875</xdr:colOff>
      <xdr:row>73</xdr:row>
      <xdr:rowOff>0</xdr:rowOff>
    </xdr:to>
    <xdr:sp>
      <xdr:nvSpPr>
        <xdr:cNvPr id="297" name="Line 307"/>
        <xdr:cNvSpPr>
          <a:spLocks/>
        </xdr:cNvSpPr>
      </xdr:nvSpPr>
      <xdr:spPr>
        <a:xfrm>
          <a:off x="942975" y="1451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73</xdr:row>
      <xdr:rowOff>0</xdr:rowOff>
    </xdr:from>
    <xdr:to>
      <xdr:col>2</xdr:col>
      <xdr:colOff>200025</xdr:colOff>
      <xdr:row>73</xdr:row>
      <xdr:rowOff>0</xdr:rowOff>
    </xdr:to>
    <xdr:sp>
      <xdr:nvSpPr>
        <xdr:cNvPr id="298" name="Line 308"/>
        <xdr:cNvSpPr>
          <a:spLocks/>
        </xdr:cNvSpPr>
      </xdr:nvSpPr>
      <xdr:spPr>
        <a:xfrm>
          <a:off x="981075" y="14516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73</xdr:row>
      <xdr:rowOff>0</xdr:rowOff>
    </xdr:from>
    <xdr:to>
      <xdr:col>2</xdr:col>
      <xdr:colOff>142875</xdr:colOff>
      <xdr:row>73</xdr:row>
      <xdr:rowOff>0</xdr:rowOff>
    </xdr:to>
    <xdr:sp>
      <xdr:nvSpPr>
        <xdr:cNvPr id="299" name="Line 309"/>
        <xdr:cNvSpPr>
          <a:spLocks/>
        </xdr:cNvSpPr>
      </xdr:nvSpPr>
      <xdr:spPr>
        <a:xfrm>
          <a:off x="942975" y="14516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108</xdr:row>
      <xdr:rowOff>114300</xdr:rowOff>
    </xdr:from>
    <xdr:to>
      <xdr:col>2</xdr:col>
      <xdr:colOff>200025</xdr:colOff>
      <xdr:row>108</xdr:row>
      <xdr:rowOff>114300</xdr:rowOff>
    </xdr:to>
    <xdr:sp>
      <xdr:nvSpPr>
        <xdr:cNvPr id="300" name="Line 310"/>
        <xdr:cNvSpPr>
          <a:spLocks/>
        </xdr:cNvSpPr>
      </xdr:nvSpPr>
      <xdr:spPr>
        <a:xfrm>
          <a:off x="981075" y="22088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210</xdr:row>
      <xdr:rowOff>114300</xdr:rowOff>
    </xdr:from>
    <xdr:to>
      <xdr:col>2</xdr:col>
      <xdr:colOff>200025</xdr:colOff>
      <xdr:row>210</xdr:row>
      <xdr:rowOff>114300</xdr:rowOff>
    </xdr:to>
    <xdr:sp>
      <xdr:nvSpPr>
        <xdr:cNvPr id="301" name="Line 311"/>
        <xdr:cNvSpPr>
          <a:spLocks/>
        </xdr:cNvSpPr>
      </xdr:nvSpPr>
      <xdr:spPr>
        <a:xfrm>
          <a:off x="981075" y="42786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207</xdr:row>
      <xdr:rowOff>114300</xdr:rowOff>
    </xdr:from>
    <xdr:to>
      <xdr:col>2</xdr:col>
      <xdr:colOff>200025</xdr:colOff>
      <xdr:row>207</xdr:row>
      <xdr:rowOff>114300</xdr:rowOff>
    </xdr:to>
    <xdr:sp>
      <xdr:nvSpPr>
        <xdr:cNvPr id="302" name="Line 312"/>
        <xdr:cNvSpPr>
          <a:spLocks/>
        </xdr:cNvSpPr>
      </xdr:nvSpPr>
      <xdr:spPr>
        <a:xfrm>
          <a:off x="981075" y="42243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303" name="Line 313"/>
        <xdr:cNvSpPr>
          <a:spLocks/>
        </xdr:cNvSpPr>
      </xdr:nvSpPr>
      <xdr:spPr>
        <a:xfrm>
          <a:off x="6791325" y="2713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136</xdr:row>
      <xdr:rowOff>114300</xdr:rowOff>
    </xdr:from>
    <xdr:to>
      <xdr:col>2</xdr:col>
      <xdr:colOff>200025</xdr:colOff>
      <xdr:row>136</xdr:row>
      <xdr:rowOff>114300</xdr:rowOff>
    </xdr:to>
    <xdr:sp>
      <xdr:nvSpPr>
        <xdr:cNvPr id="304" name="Line 314"/>
        <xdr:cNvSpPr>
          <a:spLocks/>
        </xdr:cNvSpPr>
      </xdr:nvSpPr>
      <xdr:spPr>
        <a:xfrm>
          <a:off x="981075" y="27432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211</xdr:row>
      <xdr:rowOff>114300</xdr:rowOff>
    </xdr:from>
    <xdr:to>
      <xdr:col>2</xdr:col>
      <xdr:colOff>200025</xdr:colOff>
      <xdr:row>211</xdr:row>
      <xdr:rowOff>114300</xdr:rowOff>
    </xdr:to>
    <xdr:sp>
      <xdr:nvSpPr>
        <xdr:cNvPr id="305" name="Line 315"/>
        <xdr:cNvSpPr>
          <a:spLocks/>
        </xdr:cNvSpPr>
      </xdr:nvSpPr>
      <xdr:spPr>
        <a:xfrm>
          <a:off x="981075" y="429672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140</xdr:row>
      <xdr:rowOff>0</xdr:rowOff>
    </xdr:from>
    <xdr:to>
      <xdr:col>2</xdr:col>
      <xdr:colOff>200025</xdr:colOff>
      <xdr:row>140</xdr:row>
      <xdr:rowOff>0</xdr:rowOff>
    </xdr:to>
    <xdr:sp>
      <xdr:nvSpPr>
        <xdr:cNvPr id="306" name="Line 316"/>
        <xdr:cNvSpPr>
          <a:spLocks/>
        </xdr:cNvSpPr>
      </xdr:nvSpPr>
      <xdr:spPr>
        <a:xfrm>
          <a:off x="981075" y="28070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140</xdr:row>
      <xdr:rowOff>0</xdr:rowOff>
    </xdr:from>
    <xdr:to>
      <xdr:col>2</xdr:col>
      <xdr:colOff>200025</xdr:colOff>
      <xdr:row>140</xdr:row>
      <xdr:rowOff>0</xdr:rowOff>
    </xdr:to>
    <xdr:sp>
      <xdr:nvSpPr>
        <xdr:cNvPr id="307" name="Line 317"/>
        <xdr:cNvSpPr>
          <a:spLocks/>
        </xdr:cNvSpPr>
      </xdr:nvSpPr>
      <xdr:spPr>
        <a:xfrm>
          <a:off x="981075" y="280701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140</xdr:row>
      <xdr:rowOff>114300</xdr:rowOff>
    </xdr:from>
    <xdr:to>
      <xdr:col>2</xdr:col>
      <xdr:colOff>200025</xdr:colOff>
      <xdr:row>140</xdr:row>
      <xdr:rowOff>114300</xdr:rowOff>
    </xdr:to>
    <xdr:sp>
      <xdr:nvSpPr>
        <xdr:cNvPr id="308" name="Line 318"/>
        <xdr:cNvSpPr>
          <a:spLocks/>
        </xdr:cNvSpPr>
      </xdr:nvSpPr>
      <xdr:spPr>
        <a:xfrm>
          <a:off x="981075" y="28184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167</xdr:row>
      <xdr:rowOff>114300</xdr:rowOff>
    </xdr:from>
    <xdr:to>
      <xdr:col>2</xdr:col>
      <xdr:colOff>200025</xdr:colOff>
      <xdr:row>167</xdr:row>
      <xdr:rowOff>114300</xdr:rowOff>
    </xdr:to>
    <xdr:sp>
      <xdr:nvSpPr>
        <xdr:cNvPr id="309" name="Line 319"/>
        <xdr:cNvSpPr>
          <a:spLocks/>
        </xdr:cNvSpPr>
      </xdr:nvSpPr>
      <xdr:spPr>
        <a:xfrm>
          <a:off x="981075" y="33613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239</xdr:row>
      <xdr:rowOff>104775</xdr:rowOff>
    </xdr:from>
    <xdr:to>
      <xdr:col>2</xdr:col>
      <xdr:colOff>219075</xdr:colOff>
      <xdr:row>239</xdr:row>
      <xdr:rowOff>104775</xdr:rowOff>
    </xdr:to>
    <xdr:sp>
      <xdr:nvSpPr>
        <xdr:cNvPr id="310" name="Line 320"/>
        <xdr:cNvSpPr>
          <a:spLocks/>
        </xdr:cNvSpPr>
      </xdr:nvSpPr>
      <xdr:spPr>
        <a:xfrm>
          <a:off x="1000125" y="48539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942975</xdr:colOff>
      <xdr:row>51</xdr:row>
      <xdr:rowOff>123825</xdr:rowOff>
    </xdr:from>
    <xdr:to>
      <xdr:col>2</xdr:col>
      <xdr:colOff>1019175</xdr:colOff>
      <xdr:row>51</xdr:row>
      <xdr:rowOff>123825</xdr:rowOff>
    </xdr:to>
    <xdr:sp>
      <xdr:nvSpPr>
        <xdr:cNvPr id="311" name="Line 321"/>
        <xdr:cNvSpPr>
          <a:spLocks/>
        </xdr:cNvSpPr>
      </xdr:nvSpPr>
      <xdr:spPr>
        <a:xfrm>
          <a:off x="1819275" y="10172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133350</xdr:rowOff>
    </xdr:from>
    <xdr:to>
      <xdr:col>6</xdr:col>
      <xdr:colOff>0</xdr:colOff>
      <xdr:row>55</xdr:row>
      <xdr:rowOff>133350</xdr:rowOff>
    </xdr:to>
    <xdr:sp>
      <xdr:nvSpPr>
        <xdr:cNvPr id="312" name="Line 323"/>
        <xdr:cNvSpPr>
          <a:spLocks/>
        </xdr:cNvSpPr>
      </xdr:nvSpPr>
      <xdr:spPr>
        <a:xfrm>
          <a:off x="6791325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76200</xdr:rowOff>
    </xdr:from>
    <xdr:to>
      <xdr:col>2</xdr:col>
      <xdr:colOff>114300</xdr:colOff>
      <xdr:row>25</xdr:row>
      <xdr:rowOff>76200</xdr:rowOff>
    </xdr:to>
    <xdr:sp>
      <xdr:nvSpPr>
        <xdr:cNvPr id="313" name="Line 324"/>
        <xdr:cNvSpPr>
          <a:spLocks/>
        </xdr:cNvSpPr>
      </xdr:nvSpPr>
      <xdr:spPr>
        <a:xfrm>
          <a:off x="923925" y="5219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0</xdr:rowOff>
    </xdr:from>
    <xdr:to>
      <xdr:col>2</xdr:col>
      <xdr:colOff>142875</xdr:colOff>
      <xdr:row>26</xdr:row>
      <xdr:rowOff>0</xdr:rowOff>
    </xdr:to>
    <xdr:sp>
      <xdr:nvSpPr>
        <xdr:cNvPr id="314" name="Line 325"/>
        <xdr:cNvSpPr>
          <a:spLocks/>
        </xdr:cNvSpPr>
      </xdr:nvSpPr>
      <xdr:spPr>
        <a:xfrm>
          <a:off x="942975" y="5305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76200</xdr:rowOff>
    </xdr:from>
    <xdr:to>
      <xdr:col>2</xdr:col>
      <xdr:colOff>114300</xdr:colOff>
      <xdr:row>26</xdr:row>
      <xdr:rowOff>76200</xdr:rowOff>
    </xdr:to>
    <xdr:sp>
      <xdr:nvSpPr>
        <xdr:cNvPr id="315" name="Line 326"/>
        <xdr:cNvSpPr>
          <a:spLocks/>
        </xdr:cNvSpPr>
      </xdr:nvSpPr>
      <xdr:spPr>
        <a:xfrm>
          <a:off x="923925" y="5381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133</xdr:row>
      <xdr:rowOff>114300</xdr:rowOff>
    </xdr:from>
    <xdr:to>
      <xdr:col>2</xdr:col>
      <xdr:colOff>200025</xdr:colOff>
      <xdr:row>133</xdr:row>
      <xdr:rowOff>114300</xdr:rowOff>
    </xdr:to>
    <xdr:sp>
      <xdr:nvSpPr>
        <xdr:cNvPr id="316" name="Line 327"/>
        <xdr:cNvSpPr>
          <a:spLocks/>
        </xdr:cNvSpPr>
      </xdr:nvSpPr>
      <xdr:spPr>
        <a:xfrm>
          <a:off x="981075" y="26879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133</xdr:row>
      <xdr:rowOff>114300</xdr:rowOff>
    </xdr:from>
    <xdr:to>
      <xdr:col>2</xdr:col>
      <xdr:colOff>200025</xdr:colOff>
      <xdr:row>133</xdr:row>
      <xdr:rowOff>114300</xdr:rowOff>
    </xdr:to>
    <xdr:sp>
      <xdr:nvSpPr>
        <xdr:cNvPr id="317" name="Line 328"/>
        <xdr:cNvSpPr>
          <a:spLocks/>
        </xdr:cNvSpPr>
      </xdr:nvSpPr>
      <xdr:spPr>
        <a:xfrm>
          <a:off x="981075" y="268795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147</xdr:row>
      <xdr:rowOff>114300</xdr:rowOff>
    </xdr:from>
    <xdr:to>
      <xdr:col>2</xdr:col>
      <xdr:colOff>200025</xdr:colOff>
      <xdr:row>147</xdr:row>
      <xdr:rowOff>114300</xdr:rowOff>
    </xdr:to>
    <xdr:sp>
      <xdr:nvSpPr>
        <xdr:cNvPr id="318" name="Line 329"/>
        <xdr:cNvSpPr>
          <a:spLocks/>
        </xdr:cNvSpPr>
      </xdr:nvSpPr>
      <xdr:spPr>
        <a:xfrm>
          <a:off x="981075" y="29489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206</xdr:row>
      <xdr:rowOff>114300</xdr:rowOff>
    </xdr:from>
    <xdr:to>
      <xdr:col>2</xdr:col>
      <xdr:colOff>200025</xdr:colOff>
      <xdr:row>206</xdr:row>
      <xdr:rowOff>114300</xdr:rowOff>
    </xdr:to>
    <xdr:sp>
      <xdr:nvSpPr>
        <xdr:cNvPr id="319" name="Line 330"/>
        <xdr:cNvSpPr>
          <a:spLocks/>
        </xdr:cNvSpPr>
      </xdr:nvSpPr>
      <xdr:spPr>
        <a:xfrm>
          <a:off x="981075" y="42062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222</xdr:row>
      <xdr:rowOff>114300</xdr:rowOff>
    </xdr:from>
    <xdr:to>
      <xdr:col>2</xdr:col>
      <xdr:colOff>200025</xdr:colOff>
      <xdr:row>222</xdr:row>
      <xdr:rowOff>114300</xdr:rowOff>
    </xdr:to>
    <xdr:sp>
      <xdr:nvSpPr>
        <xdr:cNvPr id="320" name="Line 331"/>
        <xdr:cNvSpPr>
          <a:spLocks/>
        </xdr:cNvSpPr>
      </xdr:nvSpPr>
      <xdr:spPr>
        <a:xfrm>
          <a:off x="981075" y="45272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" name="Line 1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4" name="Line 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402907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" name="Line 3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" name="Line 4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2" name="Line 4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" name="Line 4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" name="Line 4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" name="Line 4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7" name="Line 4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8" name="Line 4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9" name="Line 4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0" name="Line 5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" name="Line 5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" name="Line 5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" name="Line 5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4" name="Line 5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5" name="Line 5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" name="Line 5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" name="Line 5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" name="Line 5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" name="Line 5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0" name="Line 6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" name="Line 6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" name="Line 6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" name="Line 6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0" name="Line 7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1" name="Line 7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2" name="Line 7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" name="Line 7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4" name="Line 7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5" name="Line 7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6" name="Line 7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7" name="Line 7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8" name="Line 78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" name="Line 79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2" name="Line 82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3" name="Line 83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4" name="Line 84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5" name="Line 85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6" name="Line 8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" name="Line 8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" name="Line 8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" name="Line 8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" name="Line 9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1" name="Line 9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2" name="Line 9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3" name="Line 9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" name="Line 9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" name="Line 9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" name="Line 9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" name="Line 9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8" name="Line 9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9" name="Line 9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228600</xdr:rowOff>
    </xdr:from>
    <xdr:to>
      <xdr:col>4</xdr:col>
      <xdr:colOff>0</xdr:colOff>
      <xdr:row>67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202" name="Line 202"/>
        <xdr:cNvSpPr>
          <a:spLocks/>
        </xdr:cNvSpPr>
      </xdr:nvSpPr>
      <xdr:spPr>
        <a:xfrm>
          <a:off x="402907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228600</xdr:rowOff>
    </xdr:from>
    <xdr:to>
      <xdr:col>4</xdr:col>
      <xdr:colOff>0</xdr:colOff>
      <xdr:row>67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379" name="Line 379"/>
        <xdr:cNvSpPr>
          <a:spLocks/>
        </xdr:cNvSpPr>
      </xdr:nvSpPr>
      <xdr:spPr>
        <a:xfrm>
          <a:off x="402907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123</xdr:row>
      <xdr:rowOff>0</xdr:rowOff>
    </xdr:from>
    <xdr:to>
      <xdr:col>1</xdr:col>
      <xdr:colOff>466725</xdr:colOff>
      <xdr:row>123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123</xdr:row>
      <xdr:rowOff>0</xdr:rowOff>
    </xdr:from>
    <xdr:to>
      <xdr:col>1</xdr:col>
      <xdr:colOff>466725</xdr:colOff>
      <xdr:row>123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123</xdr:row>
      <xdr:rowOff>0</xdr:rowOff>
    </xdr:from>
    <xdr:to>
      <xdr:col>1</xdr:col>
      <xdr:colOff>457200</xdr:colOff>
      <xdr:row>123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228600</xdr:rowOff>
    </xdr:from>
    <xdr:to>
      <xdr:col>4</xdr:col>
      <xdr:colOff>0</xdr:colOff>
      <xdr:row>67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123</xdr:row>
      <xdr:rowOff>0</xdr:rowOff>
    </xdr:from>
    <xdr:to>
      <xdr:col>1</xdr:col>
      <xdr:colOff>466725</xdr:colOff>
      <xdr:row>123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560" name="Line 560"/>
        <xdr:cNvSpPr>
          <a:spLocks/>
        </xdr:cNvSpPr>
      </xdr:nvSpPr>
      <xdr:spPr>
        <a:xfrm>
          <a:off x="402907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123</xdr:row>
      <xdr:rowOff>0</xdr:rowOff>
    </xdr:from>
    <xdr:to>
      <xdr:col>1</xdr:col>
      <xdr:colOff>466725</xdr:colOff>
      <xdr:row>123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123</xdr:row>
      <xdr:rowOff>0</xdr:rowOff>
    </xdr:from>
    <xdr:to>
      <xdr:col>1</xdr:col>
      <xdr:colOff>466725</xdr:colOff>
      <xdr:row>123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123</xdr:row>
      <xdr:rowOff>0</xdr:rowOff>
    </xdr:from>
    <xdr:to>
      <xdr:col>1</xdr:col>
      <xdr:colOff>457200</xdr:colOff>
      <xdr:row>123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228600</xdr:rowOff>
    </xdr:from>
    <xdr:to>
      <xdr:col>4</xdr:col>
      <xdr:colOff>0</xdr:colOff>
      <xdr:row>67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123</xdr:row>
      <xdr:rowOff>0</xdr:rowOff>
    </xdr:from>
    <xdr:to>
      <xdr:col>1</xdr:col>
      <xdr:colOff>466725</xdr:colOff>
      <xdr:row>123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3766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142875</xdr:rowOff>
    </xdr:from>
    <xdr:to>
      <xdr:col>4</xdr:col>
      <xdr:colOff>0</xdr:colOff>
      <xdr:row>99</xdr:row>
      <xdr:rowOff>142875</xdr:rowOff>
    </xdr:to>
    <xdr:sp>
      <xdr:nvSpPr>
        <xdr:cNvPr id="741" name="Line 741"/>
        <xdr:cNvSpPr>
          <a:spLocks/>
        </xdr:cNvSpPr>
      </xdr:nvSpPr>
      <xdr:spPr>
        <a:xfrm>
          <a:off x="402907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29075" y="2959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29075" y="751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4</xdr:col>
      <xdr:colOff>0</xdr:colOff>
      <xdr:row>27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40290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333375</xdr:rowOff>
    </xdr:from>
    <xdr:to>
      <xdr:col>4</xdr:col>
      <xdr:colOff>0</xdr:colOff>
      <xdr:row>31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290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333375</xdr:rowOff>
    </xdr:from>
    <xdr:to>
      <xdr:col>4</xdr:col>
      <xdr:colOff>0</xdr:colOff>
      <xdr:row>34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29075" y="1050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2907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29075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29075" y="1666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228600</xdr:rowOff>
    </xdr:from>
    <xdr:to>
      <xdr:col>4</xdr:col>
      <xdr:colOff>0</xdr:colOff>
      <xdr:row>67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29075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29075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29075" y="283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152400</xdr:rowOff>
    </xdr:from>
    <xdr:to>
      <xdr:col>4</xdr:col>
      <xdr:colOff>0</xdr:colOff>
      <xdr:row>105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29075" y="299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2907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152400</xdr:rowOff>
    </xdr:from>
    <xdr:to>
      <xdr:col>4</xdr:col>
      <xdr:colOff>0</xdr:colOff>
      <xdr:row>96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29075" y="2638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290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76200</xdr:rowOff>
    </xdr:from>
    <xdr:to>
      <xdr:col>4</xdr:col>
      <xdr:colOff>85725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124075" y="2524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4</xdr:col>
      <xdr:colOff>76200</xdr:colOff>
      <xdr:row>14</xdr:row>
      <xdr:rowOff>85725</xdr:rowOff>
    </xdr:to>
    <xdr:sp>
      <xdr:nvSpPr>
        <xdr:cNvPr id="2" name="Line 2"/>
        <xdr:cNvSpPr>
          <a:spLocks/>
        </xdr:cNvSpPr>
      </xdr:nvSpPr>
      <xdr:spPr>
        <a:xfrm>
          <a:off x="2114550" y="2695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66675</xdr:rowOff>
    </xdr:from>
    <xdr:to>
      <xdr:col>4</xdr:col>
      <xdr:colOff>85725</xdr:colOff>
      <xdr:row>15</xdr:row>
      <xdr:rowOff>66675</xdr:rowOff>
    </xdr:to>
    <xdr:sp>
      <xdr:nvSpPr>
        <xdr:cNvPr id="3" name="Line 3"/>
        <xdr:cNvSpPr>
          <a:spLocks/>
        </xdr:cNvSpPr>
      </xdr:nvSpPr>
      <xdr:spPr>
        <a:xfrm>
          <a:off x="2124075" y="2838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66675</xdr:rowOff>
    </xdr:from>
    <xdr:to>
      <xdr:col>4</xdr:col>
      <xdr:colOff>85725</xdr:colOff>
      <xdr:row>16</xdr:row>
      <xdr:rowOff>66675</xdr:rowOff>
    </xdr:to>
    <xdr:sp>
      <xdr:nvSpPr>
        <xdr:cNvPr id="4" name="Line 4"/>
        <xdr:cNvSpPr>
          <a:spLocks/>
        </xdr:cNvSpPr>
      </xdr:nvSpPr>
      <xdr:spPr>
        <a:xfrm>
          <a:off x="2124075" y="300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66675</xdr:rowOff>
    </xdr:from>
    <xdr:to>
      <xdr:col>4</xdr:col>
      <xdr:colOff>85725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>
          <a:off x="2124075" y="3162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76200</xdr:rowOff>
    </xdr:from>
    <xdr:to>
      <xdr:col>4</xdr:col>
      <xdr:colOff>85725</xdr:colOff>
      <xdr:row>22</xdr:row>
      <xdr:rowOff>76200</xdr:rowOff>
    </xdr:to>
    <xdr:sp>
      <xdr:nvSpPr>
        <xdr:cNvPr id="6" name="Line 6"/>
        <xdr:cNvSpPr>
          <a:spLocks/>
        </xdr:cNvSpPr>
      </xdr:nvSpPr>
      <xdr:spPr>
        <a:xfrm>
          <a:off x="2124075" y="5000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4</xdr:col>
      <xdr:colOff>76200</xdr:colOff>
      <xdr:row>23</xdr:row>
      <xdr:rowOff>85725</xdr:rowOff>
    </xdr:to>
    <xdr:sp>
      <xdr:nvSpPr>
        <xdr:cNvPr id="7" name="Line 7"/>
        <xdr:cNvSpPr>
          <a:spLocks/>
        </xdr:cNvSpPr>
      </xdr:nvSpPr>
      <xdr:spPr>
        <a:xfrm>
          <a:off x="2114550" y="5162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66675</xdr:rowOff>
    </xdr:from>
    <xdr:to>
      <xdr:col>4</xdr:col>
      <xdr:colOff>85725</xdr:colOff>
      <xdr:row>24</xdr:row>
      <xdr:rowOff>66675</xdr:rowOff>
    </xdr:to>
    <xdr:sp>
      <xdr:nvSpPr>
        <xdr:cNvPr id="8" name="Line 8"/>
        <xdr:cNvSpPr>
          <a:spLocks/>
        </xdr:cNvSpPr>
      </xdr:nvSpPr>
      <xdr:spPr>
        <a:xfrm>
          <a:off x="2124075" y="5295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66675</xdr:rowOff>
    </xdr:from>
    <xdr:to>
      <xdr:col>4</xdr:col>
      <xdr:colOff>85725</xdr:colOff>
      <xdr:row>25</xdr:row>
      <xdr:rowOff>66675</xdr:rowOff>
    </xdr:to>
    <xdr:sp>
      <xdr:nvSpPr>
        <xdr:cNvPr id="9" name="Line 9"/>
        <xdr:cNvSpPr>
          <a:spLocks/>
        </xdr:cNvSpPr>
      </xdr:nvSpPr>
      <xdr:spPr>
        <a:xfrm>
          <a:off x="2124075" y="5448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66675</xdr:rowOff>
    </xdr:from>
    <xdr:to>
      <xdr:col>4</xdr:col>
      <xdr:colOff>85725</xdr:colOff>
      <xdr:row>26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2124075" y="5600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076950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076950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6076950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6076950" y="6010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F12" sqref="F12"/>
    </sheetView>
  </sheetViews>
  <sheetFormatPr defaultColWidth="9.00390625" defaultRowHeight="12.75"/>
  <cols>
    <col min="1" max="1" width="4.625" style="426" customWidth="1"/>
    <col min="2" max="2" width="7.375" style="426" customWidth="1"/>
    <col min="3" max="3" width="7.25390625" style="426" customWidth="1"/>
    <col min="4" max="4" width="51.375" style="70" customWidth="1"/>
    <col min="5" max="5" width="16.875" style="85" customWidth="1"/>
    <col min="6" max="6" width="14.00390625" style="70" customWidth="1"/>
    <col min="7" max="7" width="15.125" style="70" customWidth="1"/>
    <col min="8" max="8" width="16.375" style="84" customWidth="1"/>
    <col min="9" max="16384" width="9.125" style="70" customWidth="1"/>
  </cols>
  <sheetData>
    <row r="1" spans="5:8" ht="16.5">
      <c r="E1" s="130" t="s">
        <v>738</v>
      </c>
      <c r="F1" s="330"/>
      <c r="G1" s="447"/>
      <c r="H1" s="130"/>
    </row>
    <row r="2" spans="5:8" ht="18">
      <c r="E2" s="176" t="s">
        <v>761</v>
      </c>
      <c r="F2" s="329"/>
      <c r="G2" s="447"/>
      <c r="H2" s="176"/>
    </row>
    <row r="3" spans="5:8" ht="18">
      <c r="E3" s="176" t="s">
        <v>46</v>
      </c>
      <c r="F3" s="329"/>
      <c r="G3" s="447"/>
      <c r="H3" s="176"/>
    </row>
    <row r="4" ht="6.75" customHeight="1">
      <c r="H4" s="70"/>
    </row>
    <row r="5" spans="1:4" ht="20.25">
      <c r="A5" s="428" t="s">
        <v>99</v>
      </c>
      <c r="B5" s="427"/>
      <c r="C5" s="428"/>
      <c r="D5" s="429"/>
    </row>
    <row r="6" spans="2:4" ht="20.25">
      <c r="B6" s="427"/>
      <c r="C6" s="430"/>
      <c r="D6" s="589" t="s">
        <v>100</v>
      </c>
    </row>
    <row r="7" spans="2:4" ht="11.25" customHeight="1">
      <c r="B7" s="427"/>
      <c r="C7" s="431"/>
      <c r="D7" s="432"/>
    </row>
    <row r="8" spans="1:5" s="59" customFormat="1" ht="38.25" customHeight="1">
      <c r="A8" s="87" t="s">
        <v>420</v>
      </c>
      <c r="B8" s="87" t="s">
        <v>421</v>
      </c>
      <c r="C8" s="87" t="s">
        <v>519</v>
      </c>
      <c r="D8" s="88" t="s">
        <v>422</v>
      </c>
      <c r="E8" s="89" t="s">
        <v>168</v>
      </c>
    </row>
    <row r="9" spans="1:5" s="93" customFormat="1" ht="13.5" customHeight="1">
      <c r="A9" s="90">
        <v>1</v>
      </c>
      <c r="B9" s="90">
        <v>2</v>
      </c>
      <c r="C9" s="90">
        <v>3</v>
      </c>
      <c r="D9" s="91">
        <v>4</v>
      </c>
      <c r="E9" s="92">
        <v>6</v>
      </c>
    </row>
    <row r="10" spans="1:5" s="69" customFormat="1" ht="21.75" customHeight="1">
      <c r="A10" s="122" t="s">
        <v>520</v>
      </c>
      <c r="B10" s="122"/>
      <c r="C10" s="122"/>
      <c r="D10" s="117" t="s">
        <v>521</v>
      </c>
      <c r="E10" s="94">
        <f>SUM(E11)</f>
        <v>40000</v>
      </c>
    </row>
    <row r="11" spans="1:5" s="69" customFormat="1" ht="25.5">
      <c r="A11" s="434"/>
      <c r="B11" s="122" t="s">
        <v>522</v>
      </c>
      <c r="C11" s="122"/>
      <c r="D11" s="343" t="s">
        <v>523</v>
      </c>
      <c r="E11" s="94">
        <f>E12</f>
        <v>40000</v>
      </c>
    </row>
    <row r="12" spans="1:5" s="69" customFormat="1" ht="41.25" customHeight="1">
      <c r="A12" s="434"/>
      <c r="B12" s="122"/>
      <c r="C12" s="122" t="s">
        <v>524</v>
      </c>
      <c r="D12" s="123" t="s">
        <v>646</v>
      </c>
      <c r="E12" s="381">
        <v>40000</v>
      </c>
    </row>
    <row r="13" spans="1:5" s="69" customFormat="1" ht="15">
      <c r="A13" s="122" t="s">
        <v>526</v>
      </c>
      <c r="B13" s="122"/>
      <c r="C13" s="122"/>
      <c r="D13" s="117" t="s">
        <v>527</v>
      </c>
      <c r="E13" s="94">
        <f>SUM(E14)</f>
        <v>444220</v>
      </c>
    </row>
    <row r="14" spans="1:5" s="69" customFormat="1" ht="15">
      <c r="A14" s="434"/>
      <c r="B14" s="122" t="s">
        <v>528</v>
      </c>
      <c r="C14" s="122"/>
      <c r="D14" s="343" t="s">
        <v>529</v>
      </c>
      <c r="E14" s="94">
        <f>E15</f>
        <v>444220</v>
      </c>
    </row>
    <row r="15" spans="1:5" s="69" customFormat="1" ht="38.25" customHeight="1">
      <c r="A15" s="434"/>
      <c r="B15" s="122"/>
      <c r="C15" s="122" t="s">
        <v>530</v>
      </c>
      <c r="D15" s="123" t="s">
        <v>531</v>
      </c>
      <c r="E15" s="381">
        <v>444220</v>
      </c>
    </row>
    <row r="16" spans="1:5" s="69" customFormat="1" ht="15">
      <c r="A16" s="433" t="s">
        <v>532</v>
      </c>
      <c r="B16" s="122"/>
      <c r="C16" s="122"/>
      <c r="D16" s="117" t="s">
        <v>533</v>
      </c>
      <c r="E16" s="94">
        <f>E17+E20</f>
        <v>3408173</v>
      </c>
    </row>
    <row r="17" spans="1:5" s="69" customFormat="1" ht="15">
      <c r="A17" s="433"/>
      <c r="B17" s="438" t="s">
        <v>534</v>
      </c>
      <c r="C17" s="122"/>
      <c r="D17" s="343" t="s">
        <v>535</v>
      </c>
      <c r="E17" s="94">
        <f>SUM(E18:E19)</f>
        <v>2850673</v>
      </c>
    </row>
    <row r="18" spans="1:5" s="69" customFormat="1" ht="15">
      <c r="A18" s="434"/>
      <c r="B18" s="442"/>
      <c r="C18" s="122" t="s">
        <v>536</v>
      </c>
      <c r="D18" s="123" t="s">
        <v>537</v>
      </c>
      <c r="E18" s="381">
        <v>1800</v>
      </c>
    </row>
    <row r="19" spans="1:5" s="69" customFormat="1" ht="15">
      <c r="A19" s="434"/>
      <c r="B19" s="442"/>
      <c r="C19" s="122" t="s">
        <v>539</v>
      </c>
      <c r="D19" s="123" t="s">
        <v>538</v>
      </c>
      <c r="E19" s="381">
        <v>2848873</v>
      </c>
    </row>
    <row r="20" spans="1:5" s="69" customFormat="1" ht="15">
      <c r="A20" s="434"/>
      <c r="B20" s="436" t="s">
        <v>157</v>
      </c>
      <c r="C20" s="122"/>
      <c r="D20" s="343" t="s">
        <v>189</v>
      </c>
      <c r="E20" s="94">
        <f>SUM(E21:E22)</f>
        <v>557500</v>
      </c>
    </row>
    <row r="21" spans="1:5" s="69" customFormat="1" ht="15">
      <c r="A21" s="437"/>
      <c r="B21" s="433"/>
      <c r="C21" s="438" t="s">
        <v>539</v>
      </c>
      <c r="D21" s="123" t="s">
        <v>538</v>
      </c>
      <c r="E21" s="381">
        <v>418125</v>
      </c>
    </row>
    <row r="22" spans="1:5" s="69" customFormat="1" ht="36">
      <c r="A22" s="439"/>
      <c r="B22" s="435"/>
      <c r="C22" s="440" t="s">
        <v>158</v>
      </c>
      <c r="D22" s="277" t="s">
        <v>188</v>
      </c>
      <c r="E22" s="382">
        <v>139375</v>
      </c>
    </row>
    <row r="23" spans="1:5" s="69" customFormat="1" ht="15">
      <c r="A23" s="434" t="s">
        <v>540</v>
      </c>
      <c r="B23" s="435"/>
      <c r="C23" s="122"/>
      <c r="D23" s="117" t="s">
        <v>541</v>
      </c>
      <c r="E23" s="94">
        <f>SUM(E24)</f>
        <v>465428</v>
      </c>
    </row>
    <row r="24" spans="1:5" s="69" customFormat="1" ht="15">
      <c r="A24" s="433"/>
      <c r="B24" s="436" t="s">
        <v>542</v>
      </c>
      <c r="C24" s="122"/>
      <c r="D24" s="343" t="s">
        <v>543</v>
      </c>
      <c r="E24" s="94">
        <f>SUM(E25:E27)</f>
        <v>465428</v>
      </c>
    </row>
    <row r="25" spans="1:5" s="69" customFormat="1" ht="15">
      <c r="A25" s="437"/>
      <c r="B25" s="433"/>
      <c r="C25" s="438" t="s">
        <v>544</v>
      </c>
      <c r="D25" s="123" t="s">
        <v>545</v>
      </c>
      <c r="E25" s="381">
        <v>11198</v>
      </c>
    </row>
    <row r="26" spans="1:5" s="69" customFormat="1" ht="15">
      <c r="A26" s="437"/>
      <c r="B26" s="434"/>
      <c r="C26" s="438" t="s">
        <v>546</v>
      </c>
      <c r="D26" s="123" t="s">
        <v>547</v>
      </c>
      <c r="E26" s="381">
        <v>436230</v>
      </c>
    </row>
    <row r="27" spans="1:5" s="69" customFormat="1" ht="36">
      <c r="A27" s="439"/>
      <c r="B27" s="435"/>
      <c r="C27" s="438" t="s">
        <v>524</v>
      </c>
      <c r="D27" s="123" t="s">
        <v>646</v>
      </c>
      <c r="E27" s="381">
        <v>18000</v>
      </c>
    </row>
    <row r="28" spans="1:5" s="69" customFormat="1" ht="15">
      <c r="A28" s="434" t="s">
        <v>548</v>
      </c>
      <c r="B28" s="442"/>
      <c r="C28" s="433"/>
      <c r="D28" s="448" t="s">
        <v>549</v>
      </c>
      <c r="E28" s="449">
        <f>SUM(E29,E31,E33)</f>
        <v>266105</v>
      </c>
    </row>
    <row r="29" spans="1:5" s="69" customFormat="1" ht="15">
      <c r="A29" s="433"/>
      <c r="B29" s="438" t="s">
        <v>550</v>
      </c>
      <c r="C29" s="122"/>
      <c r="D29" s="343" t="s">
        <v>647</v>
      </c>
      <c r="E29" s="94">
        <f>SUM(E30)</f>
        <v>40000</v>
      </c>
    </row>
    <row r="30" spans="1:5" s="69" customFormat="1" ht="42.75" customHeight="1">
      <c r="A30" s="434"/>
      <c r="B30" s="438"/>
      <c r="C30" s="122" t="s">
        <v>524</v>
      </c>
      <c r="D30" s="123" t="s">
        <v>646</v>
      </c>
      <c r="E30" s="381">
        <v>40000</v>
      </c>
    </row>
    <row r="31" spans="1:5" s="69" customFormat="1" ht="15">
      <c r="A31" s="434"/>
      <c r="B31" s="438" t="s">
        <v>552</v>
      </c>
      <c r="C31" s="122"/>
      <c r="D31" s="343" t="s">
        <v>553</v>
      </c>
      <c r="E31" s="94">
        <f>SUM(E32)</f>
        <v>8000</v>
      </c>
    </row>
    <row r="32" spans="1:5" s="69" customFormat="1" ht="41.25" customHeight="1">
      <c r="A32" s="434"/>
      <c r="B32" s="438"/>
      <c r="C32" s="122" t="s">
        <v>524</v>
      </c>
      <c r="D32" s="123" t="s">
        <v>525</v>
      </c>
      <c r="E32" s="381">
        <v>8000</v>
      </c>
    </row>
    <row r="33" spans="1:5" s="69" customFormat="1" ht="15">
      <c r="A33" s="434"/>
      <c r="B33" s="438" t="s">
        <v>554</v>
      </c>
      <c r="C33" s="122"/>
      <c r="D33" s="343" t="s">
        <v>555</v>
      </c>
      <c r="E33" s="94">
        <f>SUM(E34:E34)</f>
        <v>218105</v>
      </c>
    </row>
    <row r="34" spans="1:5" s="69" customFormat="1" ht="36">
      <c r="A34" s="434"/>
      <c r="B34" s="436"/>
      <c r="C34" s="122" t="s">
        <v>524</v>
      </c>
      <c r="D34" s="123" t="s">
        <v>646</v>
      </c>
      <c r="E34" s="381">
        <v>218105</v>
      </c>
    </row>
    <row r="35" spans="1:5" s="69" customFormat="1" ht="15">
      <c r="A35" s="122" t="s">
        <v>557</v>
      </c>
      <c r="B35" s="122"/>
      <c r="C35" s="122"/>
      <c r="D35" s="117" t="s">
        <v>558</v>
      </c>
      <c r="E35" s="94">
        <f>SUM(E36,E38,E43)</f>
        <v>2665740</v>
      </c>
    </row>
    <row r="36" spans="1:5" s="69" customFormat="1" ht="15">
      <c r="A36" s="433"/>
      <c r="B36" s="438" t="s">
        <v>559</v>
      </c>
      <c r="C36" s="122"/>
      <c r="D36" s="343" t="s">
        <v>560</v>
      </c>
      <c r="E36" s="94">
        <f>E37</f>
        <v>204542</v>
      </c>
    </row>
    <row r="37" spans="1:5" s="69" customFormat="1" ht="36">
      <c r="A37" s="434"/>
      <c r="B37" s="438"/>
      <c r="C37" s="122" t="s">
        <v>524</v>
      </c>
      <c r="D37" s="123" t="s">
        <v>646</v>
      </c>
      <c r="E37" s="382">
        <v>204542</v>
      </c>
    </row>
    <row r="38" spans="1:5" s="69" customFormat="1" ht="15">
      <c r="A38" s="435"/>
      <c r="B38" s="440" t="s">
        <v>561</v>
      </c>
      <c r="C38" s="435"/>
      <c r="D38" s="441" t="s">
        <v>562</v>
      </c>
      <c r="E38" s="94">
        <f>SUM(E39:E42)</f>
        <v>2434198</v>
      </c>
    </row>
    <row r="39" spans="1:5" s="69" customFormat="1" ht="15">
      <c r="A39" s="450" t="s">
        <v>557</v>
      </c>
      <c r="B39" s="122" t="s">
        <v>561</v>
      </c>
      <c r="C39" s="438" t="s">
        <v>563</v>
      </c>
      <c r="D39" s="123" t="s">
        <v>564</v>
      </c>
      <c r="E39" s="381">
        <v>2011198</v>
      </c>
    </row>
    <row r="40" spans="1:5" s="69" customFormat="1" ht="15">
      <c r="A40" s="437"/>
      <c r="B40" s="434"/>
      <c r="C40" s="440" t="s">
        <v>565</v>
      </c>
      <c r="D40" s="277" t="s">
        <v>566</v>
      </c>
      <c r="E40" s="382">
        <v>5000</v>
      </c>
    </row>
    <row r="41" spans="1:5" s="69" customFormat="1" ht="15">
      <c r="A41" s="437"/>
      <c r="B41" s="434"/>
      <c r="C41" s="438" t="s">
        <v>544</v>
      </c>
      <c r="D41" s="123" t="s">
        <v>545</v>
      </c>
      <c r="E41" s="381">
        <v>228000</v>
      </c>
    </row>
    <row r="42" spans="1:5" s="69" customFormat="1" ht="36">
      <c r="A42" s="437"/>
      <c r="B42" s="435"/>
      <c r="C42" s="438" t="s">
        <v>569</v>
      </c>
      <c r="D42" s="123" t="s">
        <v>570</v>
      </c>
      <c r="E42" s="381">
        <v>190000</v>
      </c>
    </row>
    <row r="43" spans="1:5" s="69" customFormat="1" ht="15">
      <c r="A43" s="434"/>
      <c r="B43" s="440" t="s">
        <v>571</v>
      </c>
      <c r="C43" s="122"/>
      <c r="D43" s="343" t="s">
        <v>572</v>
      </c>
      <c r="E43" s="94">
        <f>E44</f>
        <v>27000</v>
      </c>
    </row>
    <row r="44" spans="1:5" s="69" customFormat="1" ht="36">
      <c r="A44" s="434"/>
      <c r="B44" s="438"/>
      <c r="C44" s="122" t="s">
        <v>524</v>
      </c>
      <c r="D44" s="123" t="s">
        <v>646</v>
      </c>
      <c r="E44" s="381">
        <v>27000</v>
      </c>
    </row>
    <row r="45" spans="1:5" s="69" customFormat="1" ht="30">
      <c r="A45" s="122" t="s">
        <v>574</v>
      </c>
      <c r="B45" s="438"/>
      <c r="C45" s="122"/>
      <c r="D45" s="117" t="s">
        <v>575</v>
      </c>
      <c r="E45" s="94">
        <f>SUM(E46)</f>
        <v>2242000</v>
      </c>
    </row>
    <row r="46" spans="1:5" s="69" customFormat="1" ht="15">
      <c r="A46" s="434"/>
      <c r="B46" s="122" t="s">
        <v>576</v>
      </c>
      <c r="C46" s="438"/>
      <c r="D46" s="343" t="s">
        <v>577</v>
      </c>
      <c r="E46" s="94">
        <f>SUM(E47:E48)</f>
        <v>2242000</v>
      </c>
    </row>
    <row r="47" spans="1:5" s="69" customFormat="1" ht="15">
      <c r="A47" s="434"/>
      <c r="B47" s="434"/>
      <c r="C47" s="438" t="s">
        <v>536</v>
      </c>
      <c r="D47" s="123" t="s">
        <v>537</v>
      </c>
      <c r="E47" s="381">
        <v>2000</v>
      </c>
    </row>
    <row r="48" spans="1:5" s="69" customFormat="1" ht="36">
      <c r="A48" s="434"/>
      <c r="B48" s="434"/>
      <c r="C48" s="438" t="s">
        <v>524</v>
      </c>
      <c r="D48" s="123" t="s">
        <v>646</v>
      </c>
      <c r="E48" s="381">
        <v>2240000</v>
      </c>
    </row>
    <row r="49" spans="1:5" s="69" customFormat="1" ht="75">
      <c r="A49" s="122" t="s">
        <v>581</v>
      </c>
      <c r="B49" s="122"/>
      <c r="C49" s="122"/>
      <c r="D49" s="117" t="s">
        <v>648</v>
      </c>
      <c r="E49" s="94">
        <f>E50</f>
        <v>7086796</v>
      </c>
    </row>
    <row r="50" spans="1:5" s="69" customFormat="1" ht="25.5">
      <c r="A50" s="434"/>
      <c r="B50" s="122" t="s">
        <v>582</v>
      </c>
      <c r="C50" s="122"/>
      <c r="D50" s="343" t="s">
        <v>583</v>
      </c>
      <c r="E50" s="94">
        <f>SUM(E51:E52)</f>
        <v>7086796</v>
      </c>
    </row>
    <row r="51" spans="1:5" s="69" customFormat="1" ht="15">
      <c r="A51" s="434"/>
      <c r="B51" s="433"/>
      <c r="C51" s="122" t="s">
        <v>584</v>
      </c>
      <c r="D51" s="123" t="s">
        <v>585</v>
      </c>
      <c r="E51" s="381">
        <v>6803381</v>
      </c>
    </row>
    <row r="52" spans="1:5" s="69" customFormat="1" ht="15">
      <c r="A52" s="435"/>
      <c r="B52" s="435"/>
      <c r="C52" s="122" t="s">
        <v>586</v>
      </c>
      <c r="D52" s="123" t="s">
        <v>587</v>
      </c>
      <c r="E52" s="381">
        <v>283415</v>
      </c>
    </row>
    <row r="53" spans="1:5" s="69" customFormat="1" ht="15">
      <c r="A53" s="433" t="s">
        <v>588</v>
      </c>
      <c r="B53" s="122"/>
      <c r="C53" s="122"/>
      <c r="D53" s="117" t="s">
        <v>589</v>
      </c>
      <c r="E53" s="94">
        <f>SUM(E54,E56,E58,E60)</f>
        <v>30883947</v>
      </c>
    </row>
    <row r="54" spans="1:5" s="69" customFormat="1" ht="24">
      <c r="A54" s="433"/>
      <c r="B54" s="438" t="s">
        <v>590</v>
      </c>
      <c r="C54" s="122"/>
      <c r="D54" s="374" t="s">
        <v>591</v>
      </c>
      <c r="E54" s="94">
        <f>E55</f>
        <v>26788804</v>
      </c>
    </row>
    <row r="55" spans="1:5" s="69" customFormat="1" ht="15">
      <c r="A55" s="434"/>
      <c r="B55" s="438"/>
      <c r="C55" s="122" t="s">
        <v>592</v>
      </c>
      <c r="D55" s="123" t="s">
        <v>593</v>
      </c>
      <c r="E55" s="381">
        <v>26788804</v>
      </c>
    </row>
    <row r="56" spans="1:5" s="69" customFormat="1" ht="15">
      <c r="A56" s="434"/>
      <c r="B56" s="438" t="s">
        <v>594</v>
      </c>
      <c r="C56" s="122"/>
      <c r="D56" s="374" t="s">
        <v>595</v>
      </c>
      <c r="E56" s="94">
        <f>E57</f>
        <v>2761415</v>
      </c>
    </row>
    <row r="57" spans="1:5" s="69" customFormat="1" ht="15">
      <c r="A57" s="434"/>
      <c r="B57" s="438"/>
      <c r="C57" s="122" t="s">
        <v>592</v>
      </c>
      <c r="D57" s="123" t="s">
        <v>593</v>
      </c>
      <c r="E57" s="381">
        <v>2761415</v>
      </c>
    </row>
    <row r="58" spans="1:5" s="69" customFormat="1" ht="15">
      <c r="A58" s="434"/>
      <c r="B58" s="438" t="s">
        <v>596</v>
      </c>
      <c r="C58" s="122"/>
      <c r="D58" s="374" t="s">
        <v>597</v>
      </c>
      <c r="E58" s="94">
        <f>E59</f>
        <v>60000</v>
      </c>
    </row>
    <row r="59" spans="1:5" s="69" customFormat="1" ht="15">
      <c r="A59" s="434"/>
      <c r="B59" s="438"/>
      <c r="C59" s="122" t="s">
        <v>536</v>
      </c>
      <c r="D59" s="123" t="s">
        <v>537</v>
      </c>
      <c r="E59" s="381">
        <v>60000</v>
      </c>
    </row>
    <row r="60" spans="1:5" s="69" customFormat="1" ht="15">
      <c r="A60" s="434"/>
      <c r="B60" s="440" t="s">
        <v>598</v>
      </c>
      <c r="C60" s="435"/>
      <c r="D60" s="443" t="s">
        <v>599</v>
      </c>
      <c r="E60" s="94">
        <f>E61</f>
        <v>1273728</v>
      </c>
    </row>
    <row r="61" spans="1:5" s="69" customFormat="1" ht="15">
      <c r="A61" s="435"/>
      <c r="B61" s="438"/>
      <c r="C61" s="122" t="s">
        <v>592</v>
      </c>
      <c r="D61" s="123" t="s">
        <v>593</v>
      </c>
      <c r="E61" s="381">
        <v>1273728</v>
      </c>
    </row>
    <row r="62" spans="1:5" s="69" customFormat="1" ht="15">
      <c r="A62" s="433" t="s">
        <v>600</v>
      </c>
      <c r="B62" s="438"/>
      <c r="C62" s="122"/>
      <c r="D62" s="117" t="s">
        <v>601</v>
      </c>
      <c r="E62" s="94">
        <f>SUM(E63,E66,E71)</f>
        <v>172632</v>
      </c>
    </row>
    <row r="63" spans="1:5" s="69" customFormat="1" ht="15">
      <c r="A63" s="590"/>
      <c r="B63" s="436" t="s">
        <v>602</v>
      </c>
      <c r="C63" s="122"/>
      <c r="D63" s="343" t="s">
        <v>603</v>
      </c>
      <c r="E63" s="94">
        <f>SUM(E64:E65)</f>
        <v>16366</v>
      </c>
    </row>
    <row r="64" spans="1:5" s="69" customFormat="1" ht="49.5" customHeight="1">
      <c r="A64" s="444"/>
      <c r="B64" s="436"/>
      <c r="C64" s="438" t="s">
        <v>604</v>
      </c>
      <c r="D64" s="123" t="s">
        <v>605</v>
      </c>
      <c r="E64" s="381">
        <v>14366</v>
      </c>
    </row>
    <row r="65" spans="1:5" s="69" customFormat="1" ht="22.5" customHeight="1">
      <c r="A65" s="434"/>
      <c r="B65" s="440"/>
      <c r="C65" s="438" t="s">
        <v>536</v>
      </c>
      <c r="D65" s="123" t="s">
        <v>537</v>
      </c>
      <c r="E65" s="381">
        <v>2000</v>
      </c>
    </row>
    <row r="66" spans="1:5" s="69" customFormat="1" ht="22.5" customHeight="1">
      <c r="A66" s="591"/>
      <c r="B66" s="440" t="s">
        <v>606</v>
      </c>
      <c r="C66" s="122"/>
      <c r="D66" s="343" t="s">
        <v>607</v>
      </c>
      <c r="E66" s="94">
        <f>SUM(E67:E70)</f>
        <v>134315</v>
      </c>
    </row>
    <row r="67" spans="1:5" s="69" customFormat="1" ht="36">
      <c r="A67" s="434"/>
      <c r="B67" s="436"/>
      <c r="C67" s="122" t="s">
        <v>604</v>
      </c>
      <c r="D67" s="123" t="s">
        <v>605</v>
      </c>
      <c r="E67" s="381">
        <v>83777</v>
      </c>
    </row>
    <row r="68" spans="1:5" s="69" customFormat="1" ht="15">
      <c r="A68" s="444"/>
      <c r="B68" s="442"/>
      <c r="C68" s="122" t="s">
        <v>536</v>
      </c>
      <c r="D68" s="123" t="s">
        <v>537</v>
      </c>
      <c r="E68" s="381">
        <v>11618</v>
      </c>
    </row>
    <row r="69" spans="1:5" s="69" customFormat="1" ht="36">
      <c r="A69" s="444"/>
      <c r="B69" s="442"/>
      <c r="C69" s="122" t="s">
        <v>578</v>
      </c>
      <c r="D69" s="123" t="s">
        <v>608</v>
      </c>
      <c r="E69" s="381">
        <v>38000</v>
      </c>
    </row>
    <row r="70" spans="1:5" s="69" customFormat="1" ht="24">
      <c r="A70" s="445"/>
      <c r="B70" s="440"/>
      <c r="C70" s="122" t="s">
        <v>159</v>
      </c>
      <c r="D70" s="123" t="s">
        <v>160</v>
      </c>
      <c r="E70" s="381">
        <v>920</v>
      </c>
    </row>
    <row r="71" spans="1:5" s="69" customFormat="1" ht="25.5">
      <c r="A71" s="122" t="s">
        <v>600</v>
      </c>
      <c r="B71" s="438" t="s">
        <v>609</v>
      </c>
      <c r="C71" s="122"/>
      <c r="D71" s="343" t="s">
        <v>610</v>
      </c>
      <c r="E71" s="94">
        <f>SUM(E72:E74)</f>
        <v>21951</v>
      </c>
    </row>
    <row r="72" spans="1:5" s="69" customFormat="1" ht="36">
      <c r="A72" s="444"/>
      <c r="B72" s="442"/>
      <c r="C72" s="440" t="s">
        <v>604</v>
      </c>
      <c r="D72" s="277" t="s">
        <v>605</v>
      </c>
      <c r="E72" s="382">
        <v>1771</v>
      </c>
    </row>
    <row r="73" spans="1:5" s="69" customFormat="1" ht="22.5" customHeight="1">
      <c r="A73" s="444"/>
      <c r="B73" s="442"/>
      <c r="C73" s="438" t="s">
        <v>544</v>
      </c>
      <c r="D73" s="123" t="s">
        <v>545</v>
      </c>
      <c r="E73" s="381">
        <v>19780</v>
      </c>
    </row>
    <row r="74" spans="1:5" s="69" customFormat="1" ht="15">
      <c r="A74" s="445"/>
      <c r="B74" s="440"/>
      <c r="C74" s="438" t="s">
        <v>536</v>
      </c>
      <c r="D74" s="123" t="s">
        <v>537</v>
      </c>
      <c r="E74" s="381">
        <v>400</v>
      </c>
    </row>
    <row r="75" spans="1:5" s="69" customFormat="1" ht="15">
      <c r="A75" s="435" t="s">
        <v>162</v>
      </c>
      <c r="B75" s="122"/>
      <c r="C75" s="122"/>
      <c r="D75" s="374" t="s">
        <v>163</v>
      </c>
      <c r="E75" s="94">
        <f>SUM(E76)</f>
        <v>124450</v>
      </c>
    </row>
    <row r="76" spans="1:5" s="69" customFormat="1" ht="15">
      <c r="A76" s="434"/>
      <c r="B76" s="433" t="s">
        <v>164</v>
      </c>
      <c r="C76" s="122"/>
      <c r="D76" s="374" t="s">
        <v>190</v>
      </c>
      <c r="E76" s="94">
        <f>SUM(E77:E78)</f>
        <v>124450</v>
      </c>
    </row>
    <row r="77" spans="1:5" s="69" customFormat="1" ht="24">
      <c r="A77" s="434"/>
      <c r="B77" s="434"/>
      <c r="C77" s="440" t="s">
        <v>183</v>
      </c>
      <c r="D77" s="277" t="s">
        <v>160</v>
      </c>
      <c r="E77" s="382">
        <v>93337</v>
      </c>
    </row>
    <row r="78" spans="1:5" s="69" customFormat="1" ht="24">
      <c r="A78" s="434"/>
      <c r="B78" s="434"/>
      <c r="C78" s="438" t="s">
        <v>184</v>
      </c>
      <c r="D78" s="123" t="s">
        <v>160</v>
      </c>
      <c r="E78" s="97">
        <v>31113</v>
      </c>
    </row>
    <row r="79" spans="1:5" s="69" customFormat="1" ht="15">
      <c r="A79" s="122" t="s">
        <v>612</v>
      </c>
      <c r="B79" s="122"/>
      <c r="C79" s="122"/>
      <c r="D79" s="117" t="s">
        <v>613</v>
      </c>
      <c r="E79" s="94">
        <f>SUM(E80,E82)</f>
        <v>971500</v>
      </c>
    </row>
    <row r="80" spans="1:5" s="69" customFormat="1" ht="15">
      <c r="A80" s="434"/>
      <c r="B80" s="438" t="s">
        <v>614</v>
      </c>
      <c r="C80" s="122"/>
      <c r="D80" s="343" t="s">
        <v>615</v>
      </c>
      <c r="E80" s="94">
        <f>SUM(E81:E81)</f>
        <v>4500</v>
      </c>
    </row>
    <row r="81" spans="1:5" s="69" customFormat="1" ht="36">
      <c r="A81" s="434"/>
      <c r="B81" s="438"/>
      <c r="C81" s="122" t="s">
        <v>616</v>
      </c>
      <c r="D81" s="123" t="s">
        <v>649</v>
      </c>
      <c r="E81" s="381">
        <v>4500</v>
      </c>
    </row>
    <row r="82" spans="1:5" s="69" customFormat="1" ht="38.25">
      <c r="A82" s="434"/>
      <c r="B82" s="438" t="s">
        <v>617</v>
      </c>
      <c r="C82" s="122"/>
      <c r="D82" s="343" t="s">
        <v>618</v>
      </c>
      <c r="E82" s="94">
        <f>E83</f>
        <v>967000</v>
      </c>
    </row>
    <row r="83" spans="1:5" s="69" customFormat="1" ht="36">
      <c r="A83" s="446"/>
      <c r="B83" s="438"/>
      <c r="C83" s="122" t="s">
        <v>524</v>
      </c>
      <c r="D83" s="123" t="s">
        <v>646</v>
      </c>
      <c r="E83" s="381">
        <v>967000</v>
      </c>
    </row>
    <row r="84" spans="1:5" s="69" customFormat="1" ht="15">
      <c r="A84" s="433" t="s">
        <v>619</v>
      </c>
      <c r="B84" s="433"/>
      <c r="C84" s="122"/>
      <c r="D84" s="374" t="s">
        <v>620</v>
      </c>
      <c r="E84" s="94">
        <f>SUM(E85,E87,E92,E94,E98)</f>
        <v>4200731</v>
      </c>
    </row>
    <row r="85" spans="1:5" s="69" customFormat="1" ht="15">
      <c r="A85" s="433"/>
      <c r="B85" s="122" t="s">
        <v>621</v>
      </c>
      <c r="C85" s="438"/>
      <c r="D85" s="374" t="s">
        <v>622</v>
      </c>
      <c r="E85" s="94">
        <f>SUM(E86:E86)</f>
        <v>48707</v>
      </c>
    </row>
    <row r="86" spans="1:5" s="69" customFormat="1" ht="36">
      <c r="A86" s="434"/>
      <c r="B86" s="435"/>
      <c r="C86" s="438" t="s">
        <v>578</v>
      </c>
      <c r="D86" s="123" t="s">
        <v>608</v>
      </c>
      <c r="E86" s="97">
        <v>48707</v>
      </c>
    </row>
    <row r="87" spans="1:5" s="69" customFormat="1" ht="15">
      <c r="A87" s="434"/>
      <c r="B87" s="122" t="s">
        <v>623</v>
      </c>
      <c r="C87" s="438"/>
      <c r="D87" s="374" t="s">
        <v>624</v>
      </c>
      <c r="E87" s="94">
        <f>SUM(E88:E91)</f>
        <v>3780608</v>
      </c>
    </row>
    <row r="88" spans="1:5" s="69" customFormat="1" ht="36">
      <c r="A88" s="434"/>
      <c r="B88" s="442"/>
      <c r="C88" s="438" t="s">
        <v>604</v>
      </c>
      <c r="D88" s="123" t="s">
        <v>605</v>
      </c>
      <c r="E88" s="96">
        <v>5440</v>
      </c>
    </row>
    <row r="89" spans="1:5" s="69" customFormat="1" ht="15">
      <c r="A89" s="434"/>
      <c r="B89" s="442"/>
      <c r="C89" s="438" t="s">
        <v>544</v>
      </c>
      <c r="D89" s="123" t="s">
        <v>545</v>
      </c>
      <c r="E89" s="97">
        <v>985168</v>
      </c>
    </row>
    <row r="90" spans="1:5" s="69" customFormat="1" ht="15">
      <c r="A90" s="434"/>
      <c r="B90" s="442"/>
      <c r="C90" s="438" t="s">
        <v>536</v>
      </c>
      <c r="D90" s="123" t="s">
        <v>537</v>
      </c>
      <c r="E90" s="97">
        <v>2000</v>
      </c>
    </row>
    <row r="91" spans="1:5" s="69" customFormat="1" ht="24">
      <c r="A91" s="434"/>
      <c r="B91" s="442"/>
      <c r="C91" s="438" t="s">
        <v>567</v>
      </c>
      <c r="D91" s="123" t="s">
        <v>568</v>
      </c>
      <c r="E91" s="97">
        <v>2788000</v>
      </c>
    </row>
    <row r="92" spans="1:5" s="69" customFormat="1" ht="15">
      <c r="A92" s="434"/>
      <c r="B92" s="122" t="s">
        <v>625</v>
      </c>
      <c r="C92" s="438"/>
      <c r="D92" s="343" t="s">
        <v>626</v>
      </c>
      <c r="E92" s="100">
        <f>SUM(E93:E93)</f>
        <v>324000</v>
      </c>
    </row>
    <row r="93" spans="1:5" s="69" customFormat="1" ht="36">
      <c r="A93" s="434"/>
      <c r="B93" s="122"/>
      <c r="C93" s="438" t="s">
        <v>524</v>
      </c>
      <c r="D93" s="123" t="s">
        <v>646</v>
      </c>
      <c r="E93" s="97">
        <v>324000</v>
      </c>
    </row>
    <row r="94" spans="1:5" s="69" customFormat="1" ht="15">
      <c r="A94" s="434"/>
      <c r="B94" s="122" t="s">
        <v>627</v>
      </c>
      <c r="C94" s="438"/>
      <c r="D94" s="343" t="s">
        <v>628</v>
      </c>
      <c r="E94" s="100">
        <f>SUM(E95:E97)</f>
        <v>46616</v>
      </c>
    </row>
    <row r="95" spans="1:5" s="69" customFormat="1" ht="24">
      <c r="A95" s="434"/>
      <c r="B95" s="433"/>
      <c r="C95" s="438" t="s">
        <v>165</v>
      </c>
      <c r="D95" s="123" t="s">
        <v>216</v>
      </c>
      <c r="E95" s="97">
        <v>3000</v>
      </c>
    </row>
    <row r="96" spans="1:5" s="69" customFormat="1" ht="15">
      <c r="A96" s="434"/>
      <c r="B96" s="434"/>
      <c r="C96" s="438" t="s">
        <v>544</v>
      </c>
      <c r="D96" s="123" t="s">
        <v>545</v>
      </c>
      <c r="E96" s="97">
        <v>30000</v>
      </c>
    </row>
    <row r="97" spans="1:5" s="69" customFormat="1" ht="36">
      <c r="A97" s="434"/>
      <c r="B97" s="435"/>
      <c r="C97" s="438" t="s">
        <v>166</v>
      </c>
      <c r="D97" s="123" t="s">
        <v>215</v>
      </c>
      <c r="E97" s="97">
        <v>13616</v>
      </c>
    </row>
    <row r="98" spans="1:5" s="69" customFormat="1" ht="15">
      <c r="A98" s="434"/>
      <c r="B98" s="122" t="s">
        <v>630</v>
      </c>
      <c r="C98" s="438"/>
      <c r="D98" s="343" t="s">
        <v>631</v>
      </c>
      <c r="E98" s="94">
        <f>SUM(E99:E99)</f>
        <v>800</v>
      </c>
    </row>
    <row r="99" spans="1:5" s="69" customFormat="1" ht="15">
      <c r="A99" s="435"/>
      <c r="B99" s="440"/>
      <c r="C99" s="440" t="s">
        <v>536</v>
      </c>
      <c r="D99" s="277" t="s">
        <v>537</v>
      </c>
      <c r="E99" s="451">
        <v>800</v>
      </c>
    </row>
    <row r="100" spans="1:5" s="69" customFormat="1" ht="15">
      <c r="A100" s="435">
        <v>853</v>
      </c>
      <c r="B100" s="440"/>
      <c r="C100" s="122"/>
      <c r="D100" s="374" t="s">
        <v>633</v>
      </c>
      <c r="E100" s="94">
        <f>SUM(E101)</f>
        <v>400</v>
      </c>
    </row>
    <row r="101" spans="1:5" s="69" customFormat="1" ht="15">
      <c r="A101" s="434"/>
      <c r="B101" s="440" t="s">
        <v>634</v>
      </c>
      <c r="C101" s="435"/>
      <c r="D101" s="441" t="s">
        <v>635</v>
      </c>
      <c r="E101" s="94">
        <f>SUM(E102:E102)</f>
        <v>400</v>
      </c>
    </row>
    <row r="102" spans="1:5" s="69" customFormat="1" ht="15">
      <c r="A102" s="434"/>
      <c r="B102" s="440"/>
      <c r="C102" s="122" t="s">
        <v>536</v>
      </c>
      <c r="D102" s="123" t="s">
        <v>537</v>
      </c>
      <c r="E102" s="97">
        <v>400</v>
      </c>
    </row>
    <row r="103" spans="1:5" s="69" customFormat="1" ht="15">
      <c r="A103" s="433" t="s">
        <v>636</v>
      </c>
      <c r="B103" s="438"/>
      <c r="C103" s="122"/>
      <c r="D103" s="117" t="s">
        <v>637</v>
      </c>
      <c r="E103" s="94">
        <f>SUM(E104,E107,E110)</f>
        <v>1185316</v>
      </c>
    </row>
    <row r="104" spans="1:5" s="69" customFormat="1" ht="15">
      <c r="A104" s="122"/>
      <c r="B104" s="438" t="s">
        <v>638</v>
      </c>
      <c r="C104" s="122"/>
      <c r="D104" s="343" t="s">
        <v>639</v>
      </c>
      <c r="E104" s="94">
        <f>SUM(E105:E106)</f>
        <v>8196</v>
      </c>
    </row>
    <row r="105" spans="1:5" s="69" customFormat="1" ht="36">
      <c r="A105" s="122" t="s">
        <v>636</v>
      </c>
      <c r="B105" s="438" t="s">
        <v>638</v>
      </c>
      <c r="C105" s="438" t="s">
        <v>604</v>
      </c>
      <c r="D105" s="123" t="s">
        <v>605</v>
      </c>
      <c r="E105" s="381">
        <v>6196</v>
      </c>
    </row>
    <row r="106" spans="1:5" s="69" customFormat="1" ht="15">
      <c r="A106" s="434"/>
      <c r="B106" s="440"/>
      <c r="C106" s="440" t="s">
        <v>536</v>
      </c>
      <c r="D106" s="277" t="s">
        <v>537</v>
      </c>
      <c r="E106" s="382">
        <v>2000</v>
      </c>
    </row>
    <row r="107" spans="1:5" s="69" customFormat="1" ht="15">
      <c r="A107" s="435"/>
      <c r="B107" s="440" t="s">
        <v>640</v>
      </c>
      <c r="C107" s="122"/>
      <c r="D107" s="343" t="s">
        <v>641</v>
      </c>
      <c r="E107" s="94">
        <f>SUM(E108:E109)</f>
        <v>1105120</v>
      </c>
    </row>
    <row r="108" spans="1:5" s="69" customFormat="1" ht="24">
      <c r="A108" s="434"/>
      <c r="B108" s="442"/>
      <c r="C108" s="438" t="s">
        <v>183</v>
      </c>
      <c r="D108" s="123" t="s">
        <v>160</v>
      </c>
      <c r="E108" s="381">
        <v>751481</v>
      </c>
    </row>
    <row r="109" spans="1:5" s="69" customFormat="1" ht="24">
      <c r="A109" s="434"/>
      <c r="B109" s="440"/>
      <c r="C109" s="438" t="s">
        <v>184</v>
      </c>
      <c r="D109" s="123" t="s">
        <v>160</v>
      </c>
      <c r="E109" s="381">
        <v>353639</v>
      </c>
    </row>
    <row r="110" spans="1:5" s="69" customFormat="1" ht="15">
      <c r="A110" s="434"/>
      <c r="B110" s="442" t="s">
        <v>642</v>
      </c>
      <c r="C110" s="122"/>
      <c r="D110" s="343" t="s">
        <v>643</v>
      </c>
      <c r="E110" s="94">
        <f>SUM(E111:E111)</f>
        <v>72000</v>
      </c>
    </row>
    <row r="111" spans="1:5" s="69" customFormat="1" ht="15">
      <c r="A111" s="439"/>
      <c r="B111" s="435"/>
      <c r="C111" s="438" t="s">
        <v>544</v>
      </c>
      <c r="D111" s="123"/>
      <c r="E111" s="381">
        <v>72000</v>
      </c>
    </row>
    <row r="112" spans="1:5" s="102" customFormat="1" ht="21.75" customHeight="1">
      <c r="A112" s="635" t="s">
        <v>644</v>
      </c>
      <c r="B112" s="636"/>
      <c r="C112" s="637"/>
      <c r="D112" s="637"/>
      <c r="E112" s="101">
        <f>SUM(E103,E100,E84,E79,E62,E53,E49,E45,E35,E28,E23,E16,E13,E10,E75)</f>
        <v>54157438</v>
      </c>
    </row>
    <row r="113" spans="1:5" s="104" customFormat="1" ht="21.75" customHeight="1">
      <c r="A113" s="638" t="s">
        <v>645</v>
      </c>
      <c r="B113" s="638"/>
      <c r="C113" s="638"/>
      <c r="D113" s="638"/>
      <c r="E113" s="384"/>
    </row>
    <row r="114" spans="1:5" s="104" customFormat="1" ht="23.25" customHeight="1">
      <c r="A114" s="643" t="s">
        <v>428</v>
      </c>
      <c r="B114" s="644"/>
      <c r="C114" s="645" t="s">
        <v>169</v>
      </c>
      <c r="D114" s="646"/>
      <c r="E114" s="422">
        <f>SUM(E115:E117)</f>
        <v>7118845</v>
      </c>
    </row>
    <row r="115" spans="1:8" ht="23.25" customHeight="1">
      <c r="A115" s="639"/>
      <c r="B115" s="640"/>
      <c r="C115" s="641" t="s">
        <v>170</v>
      </c>
      <c r="D115" s="642"/>
      <c r="E115" s="96">
        <f>SUM(E93,E83,E48,E44,E37,E34:E34,E32,E30,E27,E12)</f>
        <v>4086647</v>
      </c>
      <c r="H115" s="70"/>
    </row>
    <row r="116" spans="1:8" ht="23.25" customHeight="1">
      <c r="A116" s="647"/>
      <c r="B116" s="640"/>
      <c r="C116" s="648" t="s">
        <v>171</v>
      </c>
      <c r="D116" s="649"/>
      <c r="E116" s="97">
        <f>SUM(E91)</f>
        <v>2788000</v>
      </c>
      <c r="H116" s="70"/>
    </row>
    <row r="117" spans="1:8" ht="23.25" customHeight="1">
      <c r="A117" s="650"/>
      <c r="B117" s="651"/>
      <c r="C117" s="652" t="s">
        <v>172</v>
      </c>
      <c r="D117" s="653"/>
      <c r="E117" s="106">
        <f>SUM(E22,E69,E81,E86,E97)</f>
        <v>244198</v>
      </c>
      <c r="H117" s="70"/>
    </row>
    <row r="118" spans="1:5" s="105" customFormat="1" ht="23.25" customHeight="1">
      <c r="A118" s="643" t="s">
        <v>429</v>
      </c>
      <c r="B118" s="644"/>
      <c r="C118" s="645" t="s">
        <v>398</v>
      </c>
      <c r="D118" s="646"/>
      <c r="E118" s="101">
        <v>0</v>
      </c>
    </row>
    <row r="119" spans="1:5" s="105" customFormat="1" ht="23.25" customHeight="1">
      <c r="A119" s="643" t="s">
        <v>430</v>
      </c>
      <c r="B119" s="644"/>
      <c r="C119" s="645" t="s">
        <v>173</v>
      </c>
      <c r="D119" s="646"/>
      <c r="E119" s="101">
        <f>SUM(E70,E77,E78,E108,E109,E19,E21,E15)</f>
        <v>4941708</v>
      </c>
    </row>
  </sheetData>
  <mergeCells count="14">
    <mergeCell ref="A116:B116"/>
    <mergeCell ref="C116:D116"/>
    <mergeCell ref="A119:B119"/>
    <mergeCell ref="C119:D119"/>
    <mergeCell ref="A117:B117"/>
    <mergeCell ref="C117:D117"/>
    <mergeCell ref="A118:B118"/>
    <mergeCell ref="C118:D118"/>
    <mergeCell ref="A112:D112"/>
    <mergeCell ref="A113:D113"/>
    <mergeCell ref="A115:B115"/>
    <mergeCell ref="C115:D115"/>
    <mergeCell ref="A114:B114"/>
    <mergeCell ref="C114:D114"/>
  </mergeCells>
  <printOptions/>
  <pageMargins left="1.1" right="0.35" top="0.36" bottom="0.46" header="0.3" footer="0.2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workbookViewId="0" topLeftCell="F1">
      <selection activeCell="N2" sqref="N2"/>
    </sheetView>
  </sheetViews>
  <sheetFormatPr defaultColWidth="9.00390625" defaultRowHeight="12.75"/>
  <cols>
    <col min="1" max="1" width="4.375" style="171" customWidth="1"/>
    <col min="2" max="2" width="40.875" style="171" customWidth="1"/>
    <col min="3" max="3" width="13.25390625" style="171" customWidth="1"/>
    <col min="4" max="6" width="13.125" style="171" customWidth="1"/>
    <col min="7" max="7" width="15.125" style="171" customWidth="1"/>
    <col min="8" max="8" width="13.00390625" style="171" customWidth="1"/>
    <col min="9" max="9" width="14.625" style="171" customWidth="1"/>
    <col min="10" max="12" width="13.125" style="171" customWidth="1"/>
    <col min="13" max="13" width="14.625" style="171" customWidth="1"/>
    <col min="14" max="14" width="13.00390625" style="171" customWidth="1"/>
    <col min="15" max="16384" width="9.125" style="171" customWidth="1"/>
  </cols>
  <sheetData>
    <row r="1" spans="4:30" ht="14.25">
      <c r="D1" s="282"/>
      <c r="E1" s="282"/>
      <c r="F1" s="178" t="s">
        <v>286</v>
      </c>
      <c r="H1" s="282"/>
      <c r="I1" s="282"/>
      <c r="J1" s="178" t="s">
        <v>286</v>
      </c>
      <c r="K1" s="282"/>
      <c r="L1" s="282"/>
      <c r="M1" s="282"/>
      <c r="N1" s="178" t="s">
        <v>286</v>
      </c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4:30" ht="14.25">
      <c r="D2" s="283"/>
      <c r="E2" s="283"/>
      <c r="F2" s="176" t="s">
        <v>764</v>
      </c>
      <c r="H2" s="283"/>
      <c r="I2" s="283"/>
      <c r="J2" s="176" t="s">
        <v>764</v>
      </c>
      <c r="K2" s="283"/>
      <c r="L2" s="283"/>
      <c r="M2" s="283"/>
      <c r="N2" s="176" t="s">
        <v>764</v>
      </c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</row>
    <row r="3" spans="4:30" ht="14.25">
      <c r="D3" s="283"/>
      <c r="E3" s="283"/>
      <c r="F3" s="176" t="s">
        <v>46</v>
      </c>
      <c r="H3" s="283"/>
      <c r="I3" s="283"/>
      <c r="J3" s="176" t="s">
        <v>46</v>
      </c>
      <c r="K3" s="283"/>
      <c r="L3" s="283"/>
      <c r="M3" s="283"/>
      <c r="N3" s="176" t="s">
        <v>46</v>
      </c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</row>
    <row r="4" spans="4:12" ht="14.25">
      <c r="D4" s="262"/>
      <c r="E4" s="262"/>
      <c r="F4" s="262"/>
      <c r="J4" s="262"/>
      <c r="K4" s="262"/>
      <c r="L4" s="262"/>
    </row>
    <row r="5" ht="12.75">
      <c r="E5" s="367"/>
    </row>
    <row r="6" spans="6:14" ht="15" customHeight="1">
      <c r="F6" s="324" t="s">
        <v>390</v>
      </c>
      <c r="J6" s="324" t="s">
        <v>390</v>
      </c>
      <c r="N6" s="324" t="s">
        <v>390</v>
      </c>
    </row>
    <row r="7" spans="1:14" ht="12.75">
      <c r="A7" s="284" t="s">
        <v>488</v>
      </c>
      <c r="B7" s="296" t="s">
        <v>422</v>
      </c>
      <c r="C7" s="284" t="s">
        <v>122</v>
      </c>
      <c r="D7" s="725" t="s">
        <v>391</v>
      </c>
      <c r="E7" s="726"/>
      <c r="F7" s="727"/>
      <c r="G7" s="728" t="s">
        <v>392</v>
      </c>
      <c r="H7" s="729"/>
      <c r="I7" s="729"/>
      <c r="J7" s="730"/>
      <c r="K7" s="728" t="s">
        <v>392</v>
      </c>
      <c r="L7" s="731"/>
      <c r="M7" s="731"/>
      <c r="N7" s="732"/>
    </row>
    <row r="8" spans="1:14" ht="12.75">
      <c r="A8" s="285"/>
      <c r="B8" s="297"/>
      <c r="C8" s="300">
        <v>2005</v>
      </c>
      <c r="D8" s="298">
        <v>2006</v>
      </c>
      <c r="E8" s="368">
        <v>2007</v>
      </c>
      <c r="F8" s="368">
        <v>2008</v>
      </c>
      <c r="G8" s="369">
        <v>2009</v>
      </c>
      <c r="H8" s="368">
        <v>2010</v>
      </c>
      <c r="I8" s="368">
        <v>2011</v>
      </c>
      <c r="J8" s="368">
        <v>2012</v>
      </c>
      <c r="K8" s="368">
        <v>2013</v>
      </c>
      <c r="L8" s="368">
        <v>2014</v>
      </c>
      <c r="M8" s="368">
        <v>2015</v>
      </c>
      <c r="N8" s="299">
        <v>2015</v>
      </c>
    </row>
    <row r="9" spans="1:14" ht="12.7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3</v>
      </c>
      <c r="H9" s="115">
        <v>4</v>
      </c>
      <c r="I9" s="115">
        <v>5</v>
      </c>
      <c r="J9" s="115">
        <v>6</v>
      </c>
      <c r="K9" s="115">
        <v>3</v>
      </c>
      <c r="L9" s="115">
        <v>4</v>
      </c>
      <c r="M9" s="115">
        <v>5</v>
      </c>
      <c r="N9" s="301">
        <v>6</v>
      </c>
    </row>
    <row r="10" spans="1:14" s="305" customFormat="1" ht="16.5">
      <c r="A10" s="302" t="s">
        <v>427</v>
      </c>
      <c r="B10" s="303" t="s">
        <v>287</v>
      </c>
      <c r="C10" s="361">
        <f aca="true" t="shared" si="0" ref="C10:L10">SUM(C11,C15,C16,C17,C18)</f>
        <v>55503088</v>
      </c>
      <c r="D10" s="361">
        <f t="shared" si="0"/>
        <v>54157438</v>
      </c>
      <c r="E10" s="361">
        <f t="shared" si="0"/>
        <v>53261029</v>
      </c>
      <c r="F10" s="361">
        <f t="shared" si="0"/>
        <v>54059944</v>
      </c>
      <c r="G10" s="361">
        <f t="shared" si="0"/>
        <v>54870843</v>
      </c>
      <c r="H10" s="361">
        <f t="shared" si="0"/>
        <v>55693906</v>
      </c>
      <c r="I10" s="361">
        <f t="shared" si="0"/>
        <v>56529314</v>
      </c>
      <c r="J10" s="361">
        <f t="shared" si="0"/>
        <v>57377253</v>
      </c>
      <c r="K10" s="361">
        <f t="shared" si="0"/>
        <v>58237913</v>
      </c>
      <c r="L10" s="361">
        <f t="shared" si="0"/>
        <v>59111482</v>
      </c>
      <c r="M10" s="361">
        <f>SUM(M11,M15,M16,M17,M18)</f>
        <v>60498154</v>
      </c>
      <c r="N10" s="304">
        <f>SUM(N11,N15,N16,N17,N18)</f>
        <v>62313098.620000005</v>
      </c>
    </row>
    <row r="11" spans="1:14" s="109" customFormat="1" ht="15">
      <c r="A11" s="306" t="s">
        <v>289</v>
      </c>
      <c r="B11" s="307" t="s">
        <v>393</v>
      </c>
      <c r="C11" s="361">
        <f aca="true" t="shared" si="1" ref="C11:L11">SUM(C12:C14)</f>
        <v>15513003</v>
      </c>
      <c r="D11" s="361">
        <f t="shared" si="1"/>
        <v>16214646</v>
      </c>
      <c r="E11" s="361">
        <f t="shared" si="1"/>
        <v>14749095</v>
      </c>
      <c r="F11" s="361">
        <f t="shared" si="1"/>
        <v>14970331</v>
      </c>
      <c r="G11" s="361">
        <f t="shared" si="1"/>
        <v>15194886</v>
      </c>
      <c r="H11" s="361">
        <f t="shared" si="1"/>
        <v>15422810</v>
      </c>
      <c r="I11" s="361">
        <f t="shared" si="1"/>
        <v>15654152</v>
      </c>
      <c r="J11" s="361">
        <f t="shared" si="1"/>
        <v>15888964</v>
      </c>
      <c r="K11" s="361">
        <f t="shared" si="1"/>
        <v>16127299</v>
      </c>
      <c r="L11" s="361">
        <f t="shared" si="1"/>
        <v>16369209</v>
      </c>
      <c r="M11" s="361">
        <f>SUM(M12:M14)</f>
        <v>17114747</v>
      </c>
      <c r="N11" s="308">
        <f>SUM(N12:N14)</f>
        <v>17628189.410000004</v>
      </c>
    </row>
    <row r="12" spans="1:14" s="109" customFormat="1" ht="25.5" customHeight="1">
      <c r="A12" s="309" t="s">
        <v>428</v>
      </c>
      <c r="B12" s="67" t="s">
        <v>394</v>
      </c>
      <c r="C12" s="362">
        <v>5832886</v>
      </c>
      <c r="D12" s="362">
        <v>7086796</v>
      </c>
      <c r="E12" s="362">
        <f>ROUND(D12*101.5%,0)</f>
        <v>7193098</v>
      </c>
      <c r="F12" s="362">
        <f>ROUND(E12*101.5%,0)</f>
        <v>7300994</v>
      </c>
      <c r="G12" s="362">
        <f aca="true" t="shared" si="2" ref="G12:L12">ROUND(F12*101.5%,0)</f>
        <v>7410509</v>
      </c>
      <c r="H12" s="362">
        <f t="shared" si="2"/>
        <v>7521667</v>
      </c>
      <c r="I12" s="362">
        <f t="shared" si="2"/>
        <v>7634492</v>
      </c>
      <c r="J12" s="362">
        <f t="shared" si="2"/>
        <v>7749009</v>
      </c>
      <c r="K12" s="362">
        <f t="shared" si="2"/>
        <v>7865244</v>
      </c>
      <c r="L12" s="362">
        <f t="shared" si="2"/>
        <v>7983223</v>
      </c>
      <c r="M12" s="362">
        <f>ROUND(L12*101.5%,0)+500000</f>
        <v>8602971</v>
      </c>
      <c r="N12" s="310">
        <f aca="true" t="shared" si="3" ref="N12:N18">M12*103%</f>
        <v>8861060.13</v>
      </c>
    </row>
    <row r="13" spans="1:14" s="109" customFormat="1" ht="12.75" customHeight="1">
      <c r="A13" s="309" t="s">
        <v>429</v>
      </c>
      <c r="B13" s="67" t="s">
        <v>395</v>
      </c>
      <c r="C13" s="362">
        <f>3484098+17000</f>
        <v>3501098</v>
      </c>
      <c r="D13" s="362">
        <v>547780</v>
      </c>
      <c r="E13" s="362">
        <f>ROUND(D13*101.5%,0)</f>
        <v>555997</v>
      </c>
      <c r="F13" s="362">
        <f>ROUND(E13*101.5%,0)</f>
        <v>564337</v>
      </c>
      <c r="G13" s="362">
        <f aca="true" t="shared" si="4" ref="G13:L13">ROUND(F13*101.5%,0)</f>
        <v>572802</v>
      </c>
      <c r="H13" s="362">
        <f t="shared" si="4"/>
        <v>581394</v>
      </c>
      <c r="I13" s="362">
        <f t="shared" si="4"/>
        <v>590115</v>
      </c>
      <c r="J13" s="362">
        <f t="shared" si="4"/>
        <v>598967</v>
      </c>
      <c r="K13" s="362">
        <f t="shared" si="4"/>
        <v>607952</v>
      </c>
      <c r="L13" s="362">
        <f t="shared" si="4"/>
        <v>617071</v>
      </c>
      <c r="M13" s="362">
        <f>ROUND(L13*101.5%,0)</f>
        <v>626327</v>
      </c>
      <c r="N13" s="310">
        <f t="shared" si="3"/>
        <v>645116.81</v>
      </c>
    </row>
    <row r="14" spans="1:14" s="109" customFormat="1" ht="12.75" customHeight="1">
      <c r="A14" s="309" t="s">
        <v>430</v>
      </c>
      <c r="B14" s="67" t="s">
        <v>396</v>
      </c>
      <c r="C14" s="362">
        <v>6179019</v>
      </c>
      <c r="D14" s="362">
        <v>8580070</v>
      </c>
      <c r="E14" s="362">
        <v>7000000</v>
      </c>
      <c r="F14" s="362">
        <f>ROUND(E14*101.5%,0)</f>
        <v>7105000</v>
      </c>
      <c r="G14" s="362">
        <f>ROUND(F14*101.5%,0)</f>
        <v>7211575</v>
      </c>
      <c r="H14" s="362">
        <f aca="true" t="shared" si="5" ref="H14:M14">ROUND(G14*101.5%,0)</f>
        <v>7319749</v>
      </c>
      <c r="I14" s="362">
        <f t="shared" si="5"/>
        <v>7429545</v>
      </c>
      <c r="J14" s="362">
        <f t="shared" si="5"/>
        <v>7540988</v>
      </c>
      <c r="K14" s="362">
        <f t="shared" si="5"/>
        <v>7654103</v>
      </c>
      <c r="L14" s="362">
        <f t="shared" si="5"/>
        <v>7768915</v>
      </c>
      <c r="M14" s="362">
        <f t="shared" si="5"/>
        <v>7885449</v>
      </c>
      <c r="N14" s="310">
        <f t="shared" si="3"/>
        <v>8122012.470000001</v>
      </c>
    </row>
    <row r="15" spans="1:14" s="109" customFormat="1" ht="15">
      <c r="A15" s="311" t="s">
        <v>337</v>
      </c>
      <c r="B15" s="312" t="s">
        <v>489</v>
      </c>
      <c r="C15" s="363">
        <v>31334097</v>
      </c>
      <c r="D15" s="380">
        <v>30823947</v>
      </c>
      <c r="E15" s="103">
        <f>ROUND(D15*101.5%,0)</f>
        <v>31286306</v>
      </c>
      <c r="F15" s="103">
        <f aca="true" t="shared" si="6" ref="F15:M15">ROUND(E15*101.5%,0)</f>
        <v>31755601</v>
      </c>
      <c r="G15" s="103">
        <f t="shared" si="6"/>
        <v>32231935</v>
      </c>
      <c r="H15" s="103">
        <f t="shared" si="6"/>
        <v>32715414</v>
      </c>
      <c r="I15" s="103">
        <f t="shared" si="6"/>
        <v>33206145</v>
      </c>
      <c r="J15" s="103">
        <f t="shared" si="6"/>
        <v>33704237</v>
      </c>
      <c r="K15" s="103">
        <f t="shared" si="6"/>
        <v>34209801</v>
      </c>
      <c r="L15" s="103">
        <f t="shared" si="6"/>
        <v>34722948</v>
      </c>
      <c r="M15" s="103">
        <f t="shared" si="6"/>
        <v>35243792</v>
      </c>
      <c r="N15" s="313">
        <f t="shared" si="3"/>
        <v>36301105.76</v>
      </c>
    </row>
    <row r="16" spans="1:14" s="80" customFormat="1" ht="30" customHeight="1">
      <c r="A16" s="174" t="s">
        <v>341</v>
      </c>
      <c r="B16" s="314" t="s">
        <v>397</v>
      </c>
      <c r="C16" s="118">
        <v>4002447</v>
      </c>
      <c r="D16" s="118">
        <v>4086647</v>
      </c>
      <c r="E16" s="103">
        <f aca="true" t="shared" si="7" ref="E16:M18">ROUND(D16*101.5%,0)</f>
        <v>4147947</v>
      </c>
      <c r="F16" s="103">
        <f t="shared" si="7"/>
        <v>4210166</v>
      </c>
      <c r="G16" s="103">
        <f t="shared" si="7"/>
        <v>4273318</v>
      </c>
      <c r="H16" s="103">
        <f t="shared" si="7"/>
        <v>4337418</v>
      </c>
      <c r="I16" s="103">
        <f t="shared" si="7"/>
        <v>4402479</v>
      </c>
      <c r="J16" s="103">
        <f t="shared" si="7"/>
        <v>4468516</v>
      </c>
      <c r="K16" s="103">
        <f t="shared" si="7"/>
        <v>4535544</v>
      </c>
      <c r="L16" s="103">
        <f t="shared" si="7"/>
        <v>4603577</v>
      </c>
      <c r="M16" s="103">
        <f t="shared" si="7"/>
        <v>4672631</v>
      </c>
      <c r="N16" s="366">
        <f t="shared" si="3"/>
        <v>4812809.93</v>
      </c>
    </row>
    <row r="17" spans="1:14" s="80" customFormat="1" ht="15">
      <c r="A17" s="174" t="s">
        <v>342</v>
      </c>
      <c r="B17" s="315" t="s">
        <v>490</v>
      </c>
      <c r="C17" s="103">
        <v>3432478</v>
      </c>
      <c r="D17" s="103">
        <v>2788000</v>
      </c>
      <c r="E17" s="103">
        <f t="shared" si="7"/>
        <v>2829820</v>
      </c>
      <c r="F17" s="103">
        <f t="shared" si="7"/>
        <v>2872267</v>
      </c>
      <c r="G17" s="103">
        <f t="shared" si="7"/>
        <v>2915351</v>
      </c>
      <c r="H17" s="103">
        <f t="shared" si="7"/>
        <v>2959081</v>
      </c>
      <c r="I17" s="103">
        <f t="shared" si="7"/>
        <v>3003467</v>
      </c>
      <c r="J17" s="103">
        <f t="shared" si="7"/>
        <v>3048519</v>
      </c>
      <c r="K17" s="103">
        <f t="shared" si="7"/>
        <v>3094247</v>
      </c>
      <c r="L17" s="103">
        <f t="shared" si="7"/>
        <v>3140661</v>
      </c>
      <c r="M17" s="103">
        <f t="shared" si="7"/>
        <v>3187771</v>
      </c>
      <c r="N17" s="366">
        <f t="shared" si="3"/>
        <v>3283404.13</v>
      </c>
    </row>
    <row r="18" spans="1:14" s="80" customFormat="1" ht="15">
      <c r="A18" s="174" t="s">
        <v>348</v>
      </c>
      <c r="B18" s="315" t="s">
        <v>398</v>
      </c>
      <c r="C18" s="103">
        <v>1221063</v>
      </c>
      <c r="D18" s="103">
        <v>244198</v>
      </c>
      <c r="E18" s="103">
        <f t="shared" si="7"/>
        <v>247861</v>
      </c>
      <c r="F18" s="103">
        <f t="shared" si="7"/>
        <v>251579</v>
      </c>
      <c r="G18" s="103">
        <f t="shared" si="7"/>
        <v>255353</v>
      </c>
      <c r="H18" s="103">
        <f t="shared" si="7"/>
        <v>259183</v>
      </c>
      <c r="I18" s="103">
        <f t="shared" si="7"/>
        <v>263071</v>
      </c>
      <c r="J18" s="103">
        <f t="shared" si="7"/>
        <v>267017</v>
      </c>
      <c r="K18" s="103">
        <f t="shared" si="7"/>
        <v>271022</v>
      </c>
      <c r="L18" s="103">
        <f t="shared" si="7"/>
        <v>275087</v>
      </c>
      <c r="M18" s="103">
        <f t="shared" si="7"/>
        <v>279213</v>
      </c>
      <c r="N18" s="313">
        <f t="shared" si="3"/>
        <v>287589.39</v>
      </c>
    </row>
    <row r="19" spans="1:14" s="305" customFormat="1" ht="16.5">
      <c r="A19" s="302" t="s">
        <v>431</v>
      </c>
      <c r="B19" s="303" t="s">
        <v>725</v>
      </c>
      <c r="C19" s="361">
        <f aca="true" t="shared" si="8" ref="C19:L19">C20+C24</f>
        <v>55569785</v>
      </c>
      <c r="D19" s="361">
        <f t="shared" si="8"/>
        <v>63251941</v>
      </c>
      <c r="E19" s="361">
        <f t="shared" si="8"/>
        <v>53752020</v>
      </c>
      <c r="F19" s="361">
        <f t="shared" si="8"/>
        <v>52300000</v>
      </c>
      <c r="G19" s="361">
        <f t="shared" si="8"/>
        <v>52500000</v>
      </c>
      <c r="H19" s="361">
        <f t="shared" si="8"/>
        <v>53000000</v>
      </c>
      <c r="I19" s="361">
        <f t="shared" si="8"/>
        <v>53500000</v>
      </c>
      <c r="J19" s="361">
        <f t="shared" si="8"/>
        <v>54000000</v>
      </c>
      <c r="K19" s="361">
        <f t="shared" si="8"/>
        <v>54500000</v>
      </c>
      <c r="L19" s="361">
        <f t="shared" si="8"/>
        <v>55000000</v>
      </c>
      <c r="M19" s="361">
        <f>M20+M24</f>
        <v>55500000</v>
      </c>
      <c r="N19" s="304">
        <f>SUM(N20,N24)</f>
        <v>56500000</v>
      </c>
    </row>
    <row r="20" spans="1:14" s="109" customFormat="1" ht="15">
      <c r="A20" s="306" t="s">
        <v>289</v>
      </c>
      <c r="B20" s="307" t="s">
        <v>333</v>
      </c>
      <c r="C20" s="361">
        <v>53091781</v>
      </c>
      <c r="D20" s="361">
        <v>53046942</v>
      </c>
      <c r="E20" s="103">
        <v>51000000</v>
      </c>
      <c r="F20" s="103">
        <v>51500000</v>
      </c>
      <c r="G20" s="103">
        <v>52000000</v>
      </c>
      <c r="H20" s="103">
        <v>52500000</v>
      </c>
      <c r="I20" s="103">
        <v>53000000</v>
      </c>
      <c r="J20" s="103">
        <v>53500000</v>
      </c>
      <c r="K20" s="103">
        <v>54000000</v>
      </c>
      <c r="L20" s="103">
        <v>54500000</v>
      </c>
      <c r="M20" s="103">
        <v>55000000</v>
      </c>
      <c r="N20" s="308">
        <v>56000000</v>
      </c>
    </row>
    <row r="21" spans="1:14" s="109" customFormat="1" ht="12.75" customHeight="1" hidden="1">
      <c r="A21" s="316" t="s">
        <v>428</v>
      </c>
      <c r="B21" s="67" t="s">
        <v>399</v>
      </c>
      <c r="C21" s="362">
        <f>SUM(C22:C23)</f>
        <v>983079</v>
      </c>
      <c r="D21" s="362">
        <f>SUM(D22:D23)</f>
        <v>973415</v>
      </c>
      <c r="E21" s="362">
        <f aca="true" t="shared" si="9" ref="E21:L21">SUM(E22:E23)</f>
        <v>1344287</v>
      </c>
      <c r="F21" s="362">
        <f t="shared" si="9"/>
        <v>1246085</v>
      </c>
      <c r="G21" s="362">
        <f t="shared" si="9"/>
        <v>1066506</v>
      </c>
      <c r="H21" s="362">
        <f t="shared" si="9"/>
        <v>938349</v>
      </c>
      <c r="I21" s="362">
        <f t="shared" si="9"/>
        <v>701792</v>
      </c>
      <c r="J21" s="362">
        <f t="shared" si="9"/>
        <v>543482</v>
      </c>
      <c r="K21" s="362">
        <f t="shared" si="9"/>
        <v>315700</v>
      </c>
      <c r="L21" s="362">
        <f t="shared" si="9"/>
        <v>161100</v>
      </c>
      <c r="M21" s="362">
        <f>SUM(M22:M23)</f>
        <v>161100</v>
      </c>
      <c r="N21" s="310">
        <f>SUM(N22:N23)</f>
        <v>0</v>
      </c>
    </row>
    <row r="22" spans="1:14" s="109" customFormat="1" ht="12.75" hidden="1">
      <c r="A22" s="317"/>
      <c r="B22" s="325" t="s">
        <v>400</v>
      </c>
      <c r="C22" s="362">
        <v>495000</v>
      </c>
      <c r="D22" s="362">
        <v>667000</v>
      </c>
      <c r="E22" s="362">
        <f>1623000-524713</f>
        <v>1098287</v>
      </c>
      <c r="F22" s="362">
        <v>1082085</v>
      </c>
      <c r="G22" s="362">
        <v>1066506</v>
      </c>
      <c r="H22" s="362">
        <v>938349</v>
      </c>
      <c r="I22" s="362">
        <v>701792</v>
      </c>
      <c r="J22" s="362">
        <v>543482</v>
      </c>
      <c r="K22" s="362">
        <v>315700</v>
      </c>
      <c r="L22" s="362">
        <v>161100</v>
      </c>
      <c r="M22" s="362">
        <v>161100</v>
      </c>
      <c r="N22" s="310"/>
    </row>
    <row r="23" spans="1:14" s="109" customFormat="1" ht="12.75" hidden="1">
      <c r="A23" s="317"/>
      <c r="B23" s="325" t="s">
        <v>401</v>
      </c>
      <c r="C23" s="362">
        <v>488079</v>
      </c>
      <c r="D23" s="362">
        <v>306415</v>
      </c>
      <c r="E23" s="362">
        <v>246000</v>
      </c>
      <c r="F23" s="362">
        <v>164000</v>
      </c>
      <c r="G23" s="362">
        <v>0</v>
      </c>
      <c r="H23" s="362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310">
        <v>0</v>
      </c>
    </row>
    <row r="24" spans="1:14" s="109" customFormat="1" ht="15">
      <c r="A24" s="306" t="s">
        <v>337</v>
      </c>
      <c r="B24" s="307" t="s">
        <v>402</v>
      </c>
      <c r="C24" s="361">
        <f>2461004+17000</f>
        <v>2478004</v>
      </c>
      <c r="D24" s="361">
        <v>10204999</v>
      </c>
      <c r="E24" s="361">
        <v>2752020</v>
      </c>
      <c r="F24" s="361">
        <v>800000</v>
      </c>
      <c r="G24" s="361">
        <v>500000</v>
      </c>
      <c r="H24" s="361">
        <v>500000</v>
      </c>
      <c r="I24" s="361">
        <v>500000</v>
      </c>
      <c r="J24" s="361">
        <v>500000</v>
      </c>
      <c r="K24" s="361">
        <v>500000</v>
      </c>
      <c r="L24" s="361">
        <v>500000</v>
      </c>
      <c r="M24" s="361">
        <v>500000</v>
      </c>
      <c r="N24" s="308">
        <v>500000</v>
      </c>
    </row>
    <row r="25" spans="1:14" s="305" customFormat="1" ht="16.5">
      <c r="A25" s="302" t="s">
        <v>432</v>
      </c>
      <c r="B25" s="303" t="s">
        <v>403</v>
      </c>
      <c r="C25" s="361">
        <f>C10-C19</f>
        <v>-66697</v>
      </c>
      <c r="D25" s="361">
        <f>D10-D19</f>
        <v>-9094503</v>
      </c>
      <c r="E25" s="361">
        <f aca="true" t="shared" si="10" ref="E25:L25">E10-E19</f>
        <v>-490991</v>
      </c>
      <c r="F25" s="361">
        <f t="shared" si="10"/>
        <v>1759944</v>
      </c>
      <c r="G25" s="361">
        <f t="shared" si="10"/>
        <v>2370843</v>
      </c>
      <c r="H25" s="361">
        <f t="shared" si="10"/>
        <v>2693906</v>
      </c>
      <c r="I25" s="361">
        <f t="shared" si="10"/>
        <v>3029314</v>
      </c>
      <c r="J25" s="361">
        <f t="shared" si="10"/>
        <v>3377253</v>
      </c>
      <c r="K25" s="361">
        <f t="shared" si="10"/>
        <v>3737913</v>
      </c>
      <c r="L25" s="361">
        <f t="shared" si="10"/>
        <v>4111482</v>
      </c>
      <c r="M25" s="361">
        <f>M10-M19</f>
        <v>4998154</v>
      </c>
      <c r="N25" s="304">
        <f>N10-N19</f>
        <v>5813098.620000005</v>
      </c>
    </row>
    <row r="26" spans="1:14" s="319" customFormat="1" ht="38.25" customHeight="1">
      <c r="A26" s="302" t="s">
        <v>450</v>
      </c>
      <c r="B26" s="318" t="s">
        <v>404</v>
      </c>
      <c r="C26" s="361">
        <v>14270571</v>
      </c>
      <c r="D26" s="361">
        <f>SUM(C43)</f>
        <v>13233971</v>
      </c>
      <c r="E26" s="361">
        <f>SUM(D40)</f>
        <v>22328474</v>
      </c>
      <c r="F26" s="361">
        <f>SUM(E43)</f>
        <v>22819465</v>
      </c>
      <c r="G26" s="361">
        <f>SUM(F43)</f>
        <v>21059521</v>
      </c>
      <c r="H26" s="361">
        <f aca="true" t="shared" si="11" ref="H26:M26">SUM(G43)</f>
        <v>18688678</v>
      </c>
      <c r="I26" s="361">
        <f t="shared" si="11"/>
        <v>15994772</v>
      </c>
      <c r="J26" s="361">
        <f t="shared" si="11"/>
        <v>12965458</v>
      </c>
      <c r="K26" s="361">
        <f t="shared" si="11"/>
        <v>9588205</v>
      </c>
      <c r="L26" s="361">
        <f t="shared" si="11"/>
        <v>5850292</v>
      </c>
      <c r="M26" s="361">
        <f t="shared" si="11"/>
        <v>1850292</v>
      </c>
      <c r="N26" s="304">
        <f>SUM(M40)</f>
        <v>0</v>
      </c>
    </row>
    <row r="27" spans="1:14" s="320" customFormat="1" ht="30" customHeight="1">
      <c r="A27" s="306" t="s">
        <v>473</v>
      </c>
      <c r="B27" s="314" t="s">
        <v>755</v>
      </c>
      <c r="C27" s="364">
        <v>3338371</v>
      </c>
      <c r="D27" s="359">
        <f>SUM('zał9-sfin'!F14)</f>
        <v>11498503</v>
      </c>
      <c r="E27" s="359">
        <f>-E25+E31+E35+E36+E38</f>
        <v>3918820</v>
      </c>
      <c r="F27" s="359">
        <f aca="true" t="shared" si="12" ref="F27:K27">-F25+F31+F35+F36+F38</f>
        <v>2109056</v>
      </c>
      <c r="G27" s="359">
        <f t="shared" si="12"/>
        <v>1028157</v>
      </c>
      <c r="H27" s="359">
        <f t="shared" si="12"/>
        <v>1225094</v>
      </c>
      <c r="I27" s="359">
        <f t="shared" si="12"/>
        <v>1670686</v>
      </c>
      <c r="J27" s="359">
        <f t="shared" si="12"/>
        <v>1387675</v>
      </c>
      <c r="K27" s="359">
        <f t="shared" si="12"/>
        <v>774962</v>
      </c>
      <c r="L27" s="359">
        <v>0</v>
      </c>
      <c r="M27" s="359">
        <v>0</v>
      </c>
      <c r="N27" s="308">
        <f>240162+N30+N38</f>
        <v>3551162</v>
      </c>
    </row>
    <row r="28" spans="1:14" s="320" customFormat="1" ht="15" customHeight="1" hidden="1">
      <c r="A28" s="306">
        <v>2</v>
      </c>
      <c r="B28" s="314" t="s">
        <v>405</v>
      </c>
      <c r="C28" s="360" t="s">
        <v>503</v>
      </c>
      <c r="D28" s="360" t="s">
        <v>503</v>
      </c>
      <c r="E28" s="360" t="s">
        <v>503</v>
      </c>
      <c r="F28" s="360" t="s">
        <v>503</v>
      </c>
      <c r="G28" s="360" t="s">
        <v>503</v>
      </c>
      <c r="H28" s="360" t="s">
        <v>503</v>
      </c>
      <c r="I28" s="360" t="s">
        <v>503</v>
      </c>
      <c r="J28" s="360" t="s">
        <v>503</v>
      </c>
      <c r="K28" s="360" t="s">
        <v>503</v>
      </c>
      <c r="L28" s="360" t="s">
        <v>503</v>
      </c>
      <c r="M28" s="360" t="s">
        <v>503</v>
      </c>
      <c r="N28" s="321" t="s">
        <v>503</v>
      </c>
    </row>
    <row r="29" spans="1:14" s="320" customFormat="1" ht="15" customHeight="1">
      <c r="A29" s="306" t="s">
        <v>474</v>
      </c>
      <c r="B29" s="315" t="s">
        <v>288</v>
      </c>
      <c r="C29" s="360">
        <f>SUM(C30,C34,C38,C39)</f>
        <v>5359050</v>
      </c>
      <c r="D29" s="360">
        <f aca="true" t="shared" si="13" ref="D29:M29">SUM(D30,D34,D38,D39)</f>
        <v>3527415</v>
      </c>
      <c r="E29" s="360">
        <f t="shared" si="13"/>
        <v>4922116</v>
      </c>
      <c r="F29" s="360">
        <f t="shared" si="13"/>
        <v>5265085</v>
      </c>
      <c r="G29" s="360">
        <f t="shared" si="13"/>
        <v>4615506</v>
      </c>
      <c r="H29" s="360">
        <f t="shared" si="13"/>
        <v>5007349</v>
      </c>
      <c r="I29" s="360">
        <f t="shared" si="13"/>
        <v>5551792</v>
      </c>
      <c r="J29" s="360">
        <f t="shared" si="13"/>
        <v>5308410</v>
      </c>
      <c r="K29" s="360">
        <f t="shared" si="13"/>
        <v>4828575</v>
      </c>
      <c r="L29" s="360">
        <f t="shared" si="13"/>
        <v>4161100</v>
      </c>
      <c r="M29" s="360">
        <f t="shared" si="13"/>
        <v>2011392</v>
      </c>
      <c r="N29" s="321"/>
    </row>
    <row r="30" spans="1:14" s="320" customFormat="1" ht="30">
      <c r="A30" s="306" t="s">
        <v>289</v>
      </c>
      <c r="B30" s="314" t="s">
        <v>336</v>
      </c>
      <c r="C30" s="361">
        <f>SUM(C31:C33)</f>
        <v>3359050</v>
      </c>
      <c r="D30" s="361">
        <f aca="true" t="shared" si="14" ref="D30:M30">SUM(D31:D33)</f>
        <v>1142415</v>
      </c>
      <c r="E30" s="361">
        <f t="shared" si="14"/>
        <v>2325800</v>
      </c>
      <c r="F30" s="361">
        <f t="shared" si="14"/>
        <v>1404050</v>
      </c>
      <c r="G30" s="361">
        <f t="shared" si="14"/>
        <v>1593350</v>
      </c>
      <c r="H30" s="361">
        <f t="shared" si="14"/>
        <v>1712900</v>
      </c>
      <c r="I30" s="361">
        <f t="shared" si="14"/>
        <v>1193700</v>
      </c>
      <c r="J30" s="361">
        <f t="shared" si="14"/>
        <v>1177071</v>
      </c>
      <c r="K30" s="361">
        <f t="shared" si="14"/>
        <v>0</v>
      </c>
      <c r="L30" s="361">
        <f t="shared" si="14"/>
        <v>0</v>
      </c>
      <c r="M30" s="361">
        <f t="shared" si="14"/>
        <v>0</v>
      </c>
      <c r="N30" s="308">
        <v>2311000</v>
      </c>
    </row>
    <row r="31" spans="1:14" s="320" customFormat="1" ht="15" customHeight="1">
      <c r="A31" s="309" t="s">
        <v>290</v>
      </c>
      <c r="B31" s="67" t="s">
        <v>291</v>
      </c>
      <c r="C31" s="362">
        <v>2374971</v>
      </c>
      <c r="D31" s="362">
        <v>404000</v>
      </c>
      <c r="E31" s="362">
        <v>1723600</v>
      </c>
      <c r="F31" s="362">
        <v>958000</v>
      </c>
      <c r="G31" s="362">
        <v>1360000</v>
      </c>
      <c r="H31" s="362">
        <v>1550000</v>
      </c>
      <c r="I31" s="362">
        <v>1100000</v>
      </c>
      <c r="J31" s="362">
        <v>1138371</v>
      </c>
      <c r="K31" s="362">
        <v>0</v>
      </c>
      <c r="L31" s="362">
        <v>0</v>
      </c>
      <c r="M31" s="362">
        <v>0</v>
      </c>
      <c r="N31" s="471"/>
    </row>
    <row r="32" spans="1:14" s="320" customFormat="1" ht="51">
      <c r="A32" s="309" t="s">
        <v>429</v>
      </c>
      <c r="B32" s="67" t="s">
        <v>334</v>
      </c>
      <c r="C32" s="362">
        <v>0</v>
      </c>
      <c r="D32" s="362">
        <v>0</v>
      </c>
      <c r="E32" s="362">
        <v>0</v>
      </c>
      <c r="F32" s="362">
        <v>0</v>
      </c>
      <c r="G32" s="362">
        <v>0</v>
      </c>
      <c r="H32" s="362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70"/>
    </row>
    <row r="33" spans="1:14" s="320" customFormat="1" ht="15" customHeight="1">
      <c r="A33" s="309" t="s">
        <v>430</v>
      </c>
      <c r="B33" s="67" t="s">
        <v>335</v>
      </c>
      <c r="C33" s="362">
        <v>984079</v>
      </c>
      <c r="D33" s="362">
        <v>738415</v>
      </c>
      <c r="E33" s="362">
        <v>602200</v>
      </c>
      <c r="F33" s="362">
        <v>446050</v>
      </c>
      <c r="G33" s="362">
        <v>233350</v>
      </c>
      <c r="H33" s="362">
        <v>162900</v>
      </c>
      <c r="I33" s="362">
        <v>93700</v>
      </c>
      <c r="J33" s="362">
        <v>38700</v>
      </c>
      <c r="K33" s="362">
        <v>0</v>
      </c>
      <c r="L33" s="362">
        <v>0</v>
      </c>
      <c r="M33" s="362">
        <v>0</v>
      </c>
      <c r="N33" s="470"/>
    </row>
    <row r="34" spans="1:14" s="320" customFormat="1" ht="30">
      <c r="A34" s="306" t="s">
        <v>337</v>
      </c>
      <c r="B34" s="314" t="s">
        <v>338</v>
      </c>
      <c r="C34" s="361">
        <f>SUM(C35:C37)</f>
        <v>0</v>
      </c>
      <c r="D34" s="361">
        <f aca="true" t="shared" si="15" ref="D34:M34">SUM(D35:D37)</f>
        <v>235000</v>
      </c>
      <c r="E34" s="361">
        <f t="shared" si="15"/>
        <v>1446316</v>
      </c>
      <c r="F34" s="361">
        <f t="shared" si="15"/>
        <v>1711035</v>
      </c>
      <c r="G34" s="361">
        <f t="shared" si="15"/>
        <v>2872156</v>
      </c>
      <c r="H34" s="361">
        <f t="shared" si="15"/>
        <v>3144449</v>
      </c>
      <c r="I34" s="361">
        <f t="shared" si="15"/>
        <v>4208092</v>
      </c>
      <c r="J34" s="361">
        <f t="shared" si="15"/>
        <v>4131339</v>
      </c>
      <c r="K34" s="361">
        <f t="shared" si="15"/>
        <v>4828575</v>
      </c>
      <c r="L34" s="361">
        <f t="shared" si="15"/>
        <v>4161100</v>
      </c>
      <c r="M34" s="361">
        <f t="shared" si="15"/>
        <v>2011392</v>
      </c>
      <c r="N34" s="361"/>
    </row>
    <row r="35" spans="1:14" s="320" customFormat="1" ht="15" customHeight="1">
      <c r="A35" s="309" t="s">
        <v>290</v>
      </c>
      <c r="B35" s="67" t="s">
        <v>291</v>
      </c>
      <c r="C35" s="362">
        <v>0</v>
      </c>
      <c r="D35" s="362">
        <v>0</v>
      </c>
      <c r="E35" s="362">
        <f>2311000-E31</f>
        <v>587400</v>
      </c>
      <c r="F35" s="362">
        <f>1669000-958000</f>
        <v>711000</v>
      </c>
      <c r="G35" s="362">
        <f>3199000-1360000</f>
        <v>1839000</v>
      </c>
      <c r="H35" s="362">
        <f>3719000-1550000</f>
        <v>2169000</v>
      </c>
      <c r="I35" s="362">
        <f>4500000-1100000</f>
        <v>3400000</v>
      </c>
      <c r="J35" s="362">
        <f>4764928-1138371</f>
        <v>3626557</v>
      </c>
      <c r="K35" s="362">
        <f>4512875</f>
        <v>4512875</v>
      </c>
      <c r="L35" s="362">
        <v>4000000</v>
      </c>
      <c r="M35" s="362">
        <v>1850292</v>
      </c>
      <c r="N35" s="470"/>
    </row>
    <row r="36" spans="1:14" s="320" customFormat="1" ht="51">
      <c r="A36" s="309" t="s">
        <v>429</v>
      </c>
      <c r="B36" s="67" t="s">
        <v>334</v>
      </c>
      <c r="C36" s="362">
        <v>0</v>
      </c>
      <c r="D36" s="362">
        <v>0</v>
      </c>
      <c r="E36" s="362">
        <v>116829</v>
      </c>
      <c r="F36" s="362">
        <v>200000</v>
      </c>
      <c r="G36" s="362">
        <v>200000</v>
      </c>
      <c r="H36" s="362">
        <v>200000</v>
      </c>
      <c r="I36" s="362">
        <v>200000</v>
      </c>
      <c r="J36" s="362">
        <v>0</v>
      </c>
      <c r="K36" s="362">
        <v>0</v>
      </c>
      <c r="L36" s="362">
        <v>0</v>
      </c>
      <c r="M36" s="362">
        <v>0</v>
      </c>
      <c r="N36" s="470"/>
    </row>
    <row r="37" spans="1:14" s="320" customFormat="1" ht="15" customHeight="1">
      <c r="A37" s="309" t="s">
        <v>430</v>
      </c>
      <c r="B37" s="67" t="s">
        <v>335</v>
      </c>
      <c r="C37" s="362">
        <v>0</v>
      </c>
      <c r="D37" s="362">
        <v>235000</v>
      </c>
      <c r="E37" s="362">
        <v>742087</v>
      </c>
      <c r="F37" s="362">
        <v>800035</v>
      </c>
      <c r="G37" s="362">
        <v>833156</v>
      </c>
      <c r="H37" s="362">
        <v>775449</v>
      </c>
      <c r="I37" s="362">
        <v>608092</v>
      </c>
      <c r="J37" s="362">
        <v>504782</v>
      </c>
      <c r="K37" s="362">
        <v>315700</v>
      </c>
      <c r="L37" s="362">
        <v>161100</v>
      </c>
      <c r="M37" s="362">
        <v>161100</v>
      </c>
      <c r="N37" s="470"/>
    </row>
    <row r="38" spans="1:14" s="320" customFormat="1" ht="15" customHeight="1">
      <c r="A38" s="306" t="s">
        <v>341</v>
      </c>
      <c r="B38" s="314" t="s">
        <v>340</v>
      </c>
      <c r="C38" s="361">
        <v>2000000</v>
      </c>
      <c r="D38" s="361">
        <v>2000000</v>
      </c>
      <c r="E38" s="361">
        <v>1000000</v>
      </c>
      <c r="F38" s="361">
        <v>2000000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  <c r="L38" s="361">
        <v>0</v>
      </c>
      <c r="M38" s="361">
        <v>0</v>
      </c>
      <c r="N38" s="308">
        <v>1000000</v>
      </c>
    </row>
    <row r="39" spans="1:14" s="320" customFormat="1" ht="15" customHeight="1">
      <c r="A39" s="306" t="s">
        <v>342</v>
      </c>
      <c r="B39" s="314" t="s">
        <v>339</v>
      </c>
      <c r="C39" s="361">
        <v>0</v>
      </c>
      <c r="D39" s="361">
        <v>150000</v>
      </c>
      <c r="E39" s="361">
        <v>150000</v>
      </c>
      <c r="F39" s="361">
        <v>150000</v>
      </c>
      <c r="G39" s="361">
        <v>150000</v>
      </c>
      <c r="H39" s="361">
        <v>150000</v>
      </c>
      <c r="I39" s="361">
        <v>150000</v>
      </c>
      <c r="J39" s="361">
        <v>0</v>
      </c>
      <c r="K39" s="361">
        <v>0</v>
      </c>
      <c r="L39" s="361">
        <v>0</v>
      </c>
      <c r="M39" s="361">
        <v>0</v>
      </c>
      <c r="N39" s="308">
        <v>0</v>
      </c>
    </row>
    <row r="40" spans="1:14" s="319" customFormat="1" ht="25.5" customHeight="1" hidden="1">
      <c r="A40" s="302" t="s">
        <v>475</v>
      </c>
      <c r="B40" s="318" t="s">
        <v>407</v>
      </c>
      <c r="C40" s="361">
        <f>SUM(C26+C27-C31-C35-C38)</f>
        <v>13233971</v>
      </c>
      <c r="D40" s="361">
        <f aca="true" t="shared" si="16" ref="D40:M40">SUM(D26+D27-D31-D35-D38)</f>
        <v>22328474</v>
      </c>
      <c r="E40" s="361">
        <f t="shared" si="16"/>
        <v>22936294</v>
      </c>
      <c r="F40" s="361">
        <f t="shared" si="16"/>
        <v>21259521</v>
      </c>
      <c r="G40" s="361">
        <f t="shared" si="16"/>
        <v>18888678</v>
      </c>
      <c r="H40" s="361">
        <f t="shared" si="16"/>
        <v>16194772</v>
      </c>
      <c r="I40" s="361">
        <f t="shared" si="16"/>
        <v>13165458</v>
      </c>
      <c r="J40" s="361">
        <f t="shared" si="16"/>
        <v>9588205</v>
      </c>
      <c r="K40" s="361">
        <f t="shared" si="16"/>
        <v>5850292</v>
      </c>
      <c r="L40" s="361">
        <f t="shared" si="16"/>
        <v>1850292</v>
      </c>
      <c r="M40" s="361">
        <f t="shared" si="16"/>
        <v>0</v>
      </c>
      <c r="N40" s="304">
        <f>SUM(N26,N27,-N30,-N38)</f>
        <v>240162</v>
      </c>
    </row>
    <row r="41" spans="1:14" s="319" customFormat="1" ht="51" customHeight="1" hidden="1">
      <c r="A41" s="733" t="s">
        <v>410</v>
      </c>
      <c r="B41" s="735" t="s">
        <v>408</v>
      </c>
      <c r="C41" s="361">
        <f>SUM(C31,C35,C39,C38,C21,C36,C32)</f>
        <v>5358050</v>
      </c>
      <c r="D41" s="361">
        <f>SUM(D31,D35,D39,D38,D21,D36,D32)</f>
        <v>3527415</v>
      </c>
      <c r="E41" s="361">
        <f>SUM(E31,E35,E39,E38,E21,E36,E32)</f>
        <v>4922116</v>
      </c>
      <c r="F41" s="361">
        <f>SUM(F31,F35,F39,F38,F21,F36,F32)</f>
        <v>5265085</v>
      </c>
      <c r="G41" s="361">
        <f>SUM(G31,G35,G39,G38,G21,G36,G32)</f>
        <v>4615506</v>
      </c>
      <c r="H41" s="361">
        <f aca="true" t="shared" si="17" ref="H41:M41">SUM(H31,H35,H39,H38,H21,H36,H32)</f>
        <v>5007349</v>
      </c>
      <c r="I41" s="361">
        <f t="shared" si="17"/>
        <v>5551792</v>
      </c>
      <c r="J41" s="361">
        <f t="shared" si="17"/>
        <v>5308410</v>
      </c>
      <c r="K41" s="361">
        <f t="shared" si="17"/>
        <v>4828575</v>
      </c>
      <c r="L41" s="361">
        <f t="shared" si="17"/>
        <v>4161100</v>
      </c>
      <c r="M41" s="361">
        <f t="shared" si="17"/>
        <v>2011392</v>
      </c>
      <c r="N41" s="304">
        <f>SUM(N30:N38,N21)</f>
        <v>3311000</v>
      </c>
    </row>
    <row r="42" spans="1:14" s="109" customFormat="1" ht="17.25" customHeight="1" hidden="1">
      <c r="A42" s="734"/>
      <c r="B42" s="736"/>
      <c r="C42" s="365">
        <f aca="true" t="shared" si="18" ref="C42:N42">C41/C10</f>
        <v>0.09653607020928277</v>
      </c>
      <c r="D42" s="365">
        <f t="shared" si="18"/>
        <v>0.06513260468488188</v>
      </c>
      <c r="E42" s="365">
        <f t="shared" si="18"/>
        <v>0.09241496254231213</v>
      </c>
      <c r="F42" s="365">
        <f t="shared" si="18"/>
        <v>0.0973934601190116</v>
      </c>
      <c r="G42" s="365">
        <f t="shared" si="18"/>
        <v>0.08411582085589608</v>
      </c>
      <c r="H42" s="365">
        <f t="shared" si="18"/>
        <v>0.08990838243595269</v>
      </c>
      <c r="I42" s="365">
        <f t="shared" si="18"/>
        <v>0.09821085039171004</v>
      </c>
      <c r="J42" s="365">
        <f t="shared" si="18"/>
        <v>0.09251767420793044</v>
      </c>
      <c r="K42" s="365">
        <f t="shared" si="18"/>
        <v>0.082911195667331</v>
      </c>
      <c r="L42" s="365">
        <f t="shared" si="18"/>
        <v>0.07039410718885376</v>
      </c>
      <c r="M42" s="365">
        <f t="shared" si="18"/>
        <v>0.03324716321096343</v>
      </c>
      <c r="N42" s="322">
        <f t="shared" si="18"/>
        <v>0.053134895765515694</v>
      </c>
    </row>
    <row r="43" spans="1:14" s="319" customFormat="1" ht="25.5" customHeight="1">
      <c r="A43" s="302" t="s">
        <v>475</v>
      </c>
      <c r="B43" s="318" t="s">
        <v>343</v>
      </c>
      <c r="C43" s="361">
        <f>C26+C27-C31-C38</f>
        <v>13233971</v>
      </c>
      <c r="D43" s="361">
        <f>D26+D27-D31-D38</f>
        <v>22328474</v>
      </c>
      <c r="E43" s="361">
        <f aca="true" t="shared" si="19" ref="E43:L43">SUM(E44:E45)</f>
        <v>22819465</v>
      </c>
      <c r="F43" s="361">
        <f t="shared" si="19"/>
        <v>21059521</v>
      </c>
      <c r="G43" s="361">
        <f t="shared" si="19"/>
        <v>18688678</v>
      </c>
      <c r="H43" s="361">
        <f t="shared" si="19"/>
        <v>15994772</v>
      </c>
      <c r="I43" s="361">
        <f t="shared" si="19"/>
        <v>12965458</v>
      </c>
      <c r="J43" s="361">
        <f t="shared" si="19"/>
        <v>9588205</v>
      </c>
      <c r="K43" s="361">
        <f t="shared" si="19"/>
        <v>5850292</v>
      </c>
      <c r="L43" s="361">
        <f t="shared" si="19"/>
        <v>1850292</v>
      </c>
      <c r="M43" s="361">
        <f>SUM(M44:M45)</f>
        <v>0</v>
      </c>
      <c r="N43" s="304">
        <f>SUM(N44:N45)</f>
        <v>240162</v>
      </c>
    </row>
    <row r="44" spans="1:14" s="320" customFormat="1" ht="15" customHeight="1" hidden="1">
      <c r="A44" s="306">
        <v>1</v>
      </c>
      <c r="B44" s="314" t="s">
        <v>409</v>
      </c>
      <c r="C44" s="360">
        <v>8233971</v>
      </c>
      <c r="D44" s="360">
        <f>C44+D27-D31</f>
        <v>19328474</v>
      </c>
      <c r="E44" s="360">
        <f>D44+E27-E31-E35-E36</f>
        <v>20819465</v>
      </c>
      <c r="F44" s="360">
        <f>E44+F27-F31-F35-F36</f>
        <v>21059521</v>
      </c>
      <c r="G44" s="360">
        <f aca="true" t="shared" si="20" ref="G44:M44">F44+G27-G31-G35-G36</f>
        <v>18688678</v>
      </c>
      <c r="H44" s="360">
        <f t="shared" si="20"/>
        <v>15994772</v>
      </c>
      <c r="I44" s="360">
        <f t="shared" si="20"/>
        <v>12965458</v>
      </c>
      <c r="J44" s="360">
        <f t="shared" si="20"/>
        <v>9588205</v>
      </c>
      <c r="K44" s="360">
        <f t="shared" si="20"/>
        <v>5850292</v>
      </c>
      <c r="L44" s="360">
        <f t="shared" si="20"/>
        <v>1850292</v>
      </c>
      <c r="M44" s="360">
        <f t="shared" si="20"/>
        <v>0</v>
      </c>
      <c r="N44" s="308">
        <f>M44+N27-N30</f>
        <v>1240162</v>
      </c>
    </row>
    <row r="45" spans="1:14" s="320" customFormat="1" ht="15" customHeight="1" hidden="1">
      <c r="A45" s="306">
        <v>2</v>
      </c>
      <c r="B45" s="314" t="s">
        <v>405</v>
      </c>
      <c r="C45" s="360">
        <v>5000000</v>
      </c>
      <c r="D45" s="360">
        <f aca="true" t="shared" si="21" ref="D45:N45">C45-D38</f>
        <v>3000000</v>
      </c>
      <c r="E45" s="360">
        <f t="shared" si="21"/>
        <v>2000000</v>
      </c>
      <c r="F45" s="360">
        <f t="shared" si="21"/>
        <v>0</v>
      </c>
      <c r="G45" s="360">
        <f t="shared" si="21"/>
        <v>0</v>
      </c>
      <c r="H45" s="360">
        <f t="shared" si="21"/>
        <v>0</v>
      </c>
      <c r="I45" s="360">
        <f t="shared" si="21"/>
        <v>0</v>
      </c>
      <c r="J45" s="360">
        <f t="shared" si="21"/>
        <v>0</v>
      </c>
      <c r="K45" s="360">
        <f t="shared" si="21"/>
        <v>0</v>
      </c>
      <c r="L45" s="360">
        <f t="shared" si="21"/>
        <v>0</v>
      </c>
      <c r="M45" s="360">
        <f t="shared" si="21"/>
        <v>0</v>
      </c>
      <c r="N45" s="308">
        <f t="shared" si="21"/>
        <v>-1000000</v>
      </c>
    </row>
    <row r="46" spans="1:14" s="242" customFormat="1" ht="51">
      <c r="A46" s="392" t="s">
        <v>428</v>
      </c>
      <c r="B46" s="67" t="s">
        <v>344</v>
      </c>
      <c r="C46" s="124">
        <v>0</v>
      </c>
      <c r="D46" s="124">
        <v>916829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476"/>
    </row>
    <row r="47" spans="1:14" s="469" customFormat="1" ht="21" customHeight="1">
      <c r="A47" s="174" t="s">
        <v>327</v>
      </c>
      <c r="B47" s="318" t="s">
        <v>345</v>
      </c>
      <c r="C47" s="472">
        <f aca="true" t="shared" si="22" ref="C47:N47">C43/C10</f>
        <v>0.23843666139801087</v>
      </c>
      <c r="D47" s="472">
        <f t="shared" si="22"/>
        <v>0.41228822530342</v>
      </c>
      <c r="E47" s="472">
        <f t="shared" si="22"/>
        <v>0.4284458154197509</v>
      </c>
      <c r="F47" s="472">
        <f t="shared" si="22"/>
        <v>0.3895586906268345</v>
      </c>
      <c r="G47" s="472">
        <f t="shared" si="22"/>
        <v>0.34059396535970843</v>
      </c>
      <c r="H47" s="472">
        <f t="shared" si="22"/>
        <v>0.28719070269555164</v>
      </c>
      <c r="I47" s="472">
        <f t="shared" si="22"/>
        <v>0.2293581344362325</v>
      </c>
      <c r="J47" s="472">
        <f t="shared" si="22"/>
        <v>0.16710812209849085</v>
      </c>
      <c r="K47" s="472">
        <f t="shared" si="22"/>
        <v>0.10045504206168926</v>
      </c>
      <c r="L47" s="472">
        <f t="shared" si="22"/>
        <v>0.031301735930085464</v>
      </c>
      <c r="M47" s="472">
        <f t="shared" si="22"/>
        <v>0</v>
      </c>
      <c r="N47" s="473">
        <f t="shared" si="22"/>
        <v>0.0038541174378851645</v>
      </c>
    </row>
    <row r="48" spans="1:14" s="474" customFormat="1" ht="25.5">
      <c r="A48" s="174" t="s">
        <v>328</v>
      </c>
      <c r="B48" s="318" t="s">
        <v>346</v>
      </c>
      <c r="C48" s="475">
        <f>(C41/C10)</f>
        <v>0.09653607020928277</v>
      </c>
      <c r="D48" s="475">
        <f aca="true" t="shared" si="23" ref="D48:M48">(D41/D10)</f>
        <v>0.06513260468488188</v>
      </c>
      <c r="E48" s="475">
        <f t="shared" si="23"/>
        <v>0.09241496254231213</v>
      </c>
      <c r="F48" s="475">
        <f t="shared" si="23"/>
        <v>0.0973934601190116</v>
      </c>
      <c r="G48" s="475">
        <f t="shared" si="23"/>
        <v>0.08411582085589608</v>
      </c>
      <c r="H48" s="475">
        <f t="shared" si="23"/>
        <v>0.08990838243595269</v>
      </c>
      <c r="I48" s="475">
        <f t="shared" si="23"/>
        <v>0.09821085039171004</v>
      </c>
      <c r="J48" s="475">
        <f t="shared" si="23"/>
        <v>0.09251767420793044</v>
      </c>
      <c r="K48" s="475">
        <f t="shared" si="23"/>
        <v>0.082911195667331</v>
      </c>
      <c r="L48" s="475">
        <f t="shared" si="23"/>
        <v>0.07039410718885376</v>
      </c>
      <c r="M48" s="475">
        <f t="shared" si="23"/>
        <v>0.03324716321096343</v>
      </c>
      <c r="N48" s="475"/>
    </row>
    <row r="49" spans="1:14" s="248" customFormat="1" ht="17.25" customHeight="1">
      <c r="A49" s="287" t="s">
        <v>329</v>
      </c>
      <c r="B49" s="318" t="s">
        <v>347</v>
      </c>
      <c r="C49" s="475">
        <f>C43/C10</f>
        <v>0.23843666139801087</v>
      </c>
      <c r="D49" s="475">
        <f aca="true" t="shared" si="24" ref="D49:M49">D43/D10</f>
        <v>0.41228822530342</v>
      </c>
      <c r="E49" s="475">
        <f t="shared" si="24"/>
        <v>0.4284458154197509</v>
      </c>
      <c r="F49" s="475">
        <f t="shared" si="24"/>
        <v>0.3895586906268345</v>
      </c>
      <c r="G49" s="475">
        <f t="shared" si="24"/>
        <v>0.34059396535970843</v>
      </c>
      <c r="H49" s="475">
        <f t="shared" si="24"/>
        <v>0.28719070269555164</v>
      </c>
      <c r="I49" s="475">
        <f t="shared" si="24"/>
        <v>0.2293581344362325</v>
      </c>
      <c r="J49" s="475">
        <f t="shared" si="24"/>
        <v>0.16710812209849085</v>
      </c>
      <c r="K49" s="475">
        <f t="shared" si="24"/>
        <v>0.10045504206168926</v>
      </c>
      <c r="L49" s="475">
        <f t="shared" si="24"/>
        <v>0.031301735930085464</v>
      </c>
      <c r="M49" s="475">
        <f t="shared" si="24"/>
        <v>0</v>
      </c>
      <c r="N49" s="475"/>
    </row>
    <row r="50" spans="1:14" s="248" customFormat="1" ht="25.5">
      <c r="A50" s="287" t="s">
        <v>330</v>
      </c>
      <c r="B50" s="318" t="s">
        <v>346</v>
      </c>
      <c r="C50" s="475">
        <f>C41/C10</f>
        <v>0.09653607020928277</v>
      </c>
      <c r="D50" s="475">
        <f aca="true" t="shared" si="25" ref="D50:M50">D41/D10</f>
        <v>0.06513260468488188</v>
      </c>
      <c r="E50" s="475">
        <f t="shared" si="25"/>
        <v>0.09241496254231213</v>
      </c>
      <c r="F50" s="475">
        <f t="shared" si="25"/>
        <v>0.0973934601190116</v>
      </c>
      <c r="G50" s="475">
        <f t="shared" si="25"/>
        <v>0.08411582085589608</v>
      </c>
      <c r="H50" s="475">
        <f t="shared" si="25"/>
        <v>0.08990838243595269</v>
      </c>
      <c r="I50" s="475">
        <f t="shared" si="25"/>
        <v>0.09821085039171004</v>
      </c>
      <c r="J50" s="475">
        <f t="shared" si="25"/>
        <v>0.09251767420793044</v>
      </c>
      <c r="K50" s="475">
        <f t="shared" si="25"/>
        <v>0.082911195667331</v>
      </c>
      <c r="L50" s="475">
        <f t="shared" si="25"/>
        <v>0.07039410718885376</v>
      </c>
      <c r="M50" s="475">
        <f t="shared" si="25"/>
        <v>0.03324716321096343</v>
      </c>
      <c r="N50" s="475"/>
    </row>
    <row r="51" spans="1:13" ht="12.75">
      <c r="A51" s="187"/>
      <c r="F51" s="323"/>
      <c r="G51" s="187"/>
      <c r="L51" s="323"/>
      <c r="M51" s="187"/>
    </row>
    <row r="52" spans="1:13" ht="12.75">
      <c r="A52" s="187"/>
      <c r="F52" s="323"/>
      <c r="G52" s="187"/>
      <c r="L52" s="323"/>
      <c r="M52" s="187"/>
    </row>
    <row r="53" spans="1:13" ht="12.75">
      <c r="A53" s="187"/>
      <c r="F53" s="323"/>
      <c r="G53" s="187"/>
      <c r="L53" s="323"/>
      <c r="M53" s="187"/>
    </row>
    <row r="54" spans="1:13" ht="12.75">
      <c r="A54" s="187"/>
      <c r="F54" s="323"/>
      <c r="G54" s="187"/>
      <c r="L54" s="323"/>
      <c r="M54" s="187"/>
    </row>
    <row r="55" spans="1:13" ht="12.75">
      <c r="A55" s="187"/>
      <c r="F55" s="323"/>
      <c r="G55" s="187"/>
      <c r="L55" s="323"/>
      <c r="M55" s="187"/>
    </row>
    <row r="56" spans="6:12" ht="12.75">
      <c r="F56" s="323"/>
      <c r="L56" s="323"/>
    </row>
    <row r="57" spans="6:12" ht="12.75">
      <c r="F57" s="323"/>
      <c r="L57" s="323"/>
    </row>
    <row r="58" spans="6:12" ht="12.75">
      <c r="F58" s="323"/>
      <c r="L58" s="323"/>
    </row>
    <row r="59" spans="6:12" ht="12.75">
      <c r="F59" s="323"/>
      <c r="L59" s="323"/>
    </row>
    <row r="60" spans="6:12" ht="12.75">
      <c r="F60" s="323"/>
      <c r="L60" s="323"/>
    </row>
  </sheetData>
  <mergeCells count="5">
    <mergeCell ref="D7:F7"/>
    <mergeCell ref="G7:J7"/>
    <mergeCell ref="K7:N7"/>
    <mergeCell ref="A41:A42"/>
    <mergeCell ref="B41:B42"/>
  </mergeCells>
  <printOptions/>
  <pageMargins left="0.71" right="0.32" top="0.27" bottom="0.6" header="0.89" footer="0.16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8"/>
  <dimension ref="A1:F83"/>
  <sheetViews>
    <sheetView workbookViewId="0" topLeftCell="A1">
      <selection activeCell="E5" sqref="E5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ht="19.5" customHeight="1">
      <c r="A1" s="739" t="s">
        <v>227</v>
      </c>
      <c r="B1" s="739"/>
      <c r="C1" s="739"/>
      <c r="D1" s="739"/>
      <c r="E1" s="739"/>
      <c r="F1" s="739"/>
    </row>
    <row r="2" spans="1:6" ht="15" customHeight="1">
      <c r="A2" s="739"/>
      <c r="B2" s="739"/>
      <c r="C2" s="739"/>
      <c r="D2" s="739"/>
      <c r="E2" s="739"/>
      <c r="F2" s="739"/>
    </row>
    <row r="3" ht="13.5" thickBot="1">
      <c r="F3" s="4" t="s">
        <v>481</v>
      </c>
    </row>
    <row r="4" spans="1:6" ht="15.75" thickBot="1">
      <c r="A4" s="147" t="s">
        <v>425</v>
      </c>
      <c r="B4" s="147" t="s">
        <v>422</v>
      </c>
      <c r="C4" s="147" t="s">
        <v>440</v>
      </c>
      <c r="D4" s="477" t="s">
        <v>440</v>
      </c>
      <c r="E4" s="737" t="s">
        <v>423</v>
      </c>
      <c r="F4" s="738"/>
    </row>
    <row r="5" spans="1:6" ht="30.75" thickBot="1">
      <c r="A5" s="148"/>
      <c r="B5" s="148"/>
      <c r="C5" s="149" t="s">
        <v>441</v>
      </c>
      <c r="D5" s="480" t="s">
        <v>349</v>
      </c>
      <c r="E5" s="150" t="s">
        <v>229</v>
      </c>
      <c r="F5" s="150" t="s">
        <v>168</v>
      </c>
    </row>
    <row r="6" spans="1:6" ht="9" customHeight="1" thickBot="1">
      <c r="A6" s="2">
        <v>1</v>
      </c>
      <c r="B6" s="2">
        <v>2</v>
      </c>
      <c r="C6" s="2">
        <v>3</v>
      </c>
      <c r="D6" s="2"/>
      <c r="E6" s="2">
        <v>3</v>
      </c>
      <c r="F6" s="2">
        <v>4</v>
      </c>
    </row>
    <row r="7" spans="1:6" ht="19.5" customHeight="1">
      <c r="A7" s="494" t="s">
        <v>427</v>
      </c>
      <c r="B7" s="21" t="s">
        <v>442</v>
      </c>
      <c r="C7" s="20"/>
      <c r="D7" s="20"/>
      <c r="E7" s="139">
        <v>55503088</v>
      </c>
      <c r="F7" s="139">
        <f>SUM('zal1-doch'!E112)</f>
        <v>54157438</v>
      </c>
    </row>
    <row r="8" spans="1:6" ht="19.5" customHeight="1">
      <c r="A8" s="22" t="s">
        <v>431</v>
      </c>
      <c r="B8" s="23" t="s">
        <v>443</v>
      </c>
      <c r="C8" s="22"/>
      <c r="D8" s="22"/>
      <c r="E8" s="140">
        <f>SUM('zal2-wyd'!D230)</f>
        <v>55569785</v>
      </c>
      <c r="F8" s="140">
        <f>SUM('zal2-wyd'!E230)</f>
        <v>63251941</v>
      </c>
    </row>
    <row r="9" spans="1:6" ht="19.5" customHeight="1" hidden="1">
      <c r="A9" s="28"/>
      <c r="B9" s="29"/>
      <c r="C9" s="22"/>
      <c r="D9" s="22"/>
      <c r="E9" s="140"/>
      <c r="F9" s="140"/>
    </row>
    <row r="10" spans="1:6" ht="19.5" customHeight="1">
      <c r="A10" s="22"/>
      <c r="B10" s="23" t="s">
        <v>471</v>
      </c>
      <c r="C10" s="22"/>
      <c r="D10" s="22"/>
      <c r="E10" s="140">
        <f>E7-E8</f>
        <v>-66697</v>
      </c>
      <c r="F10" s="140">
        <f>F7-F8</f>
        <v>-9094503</v>
      </c>
    </row>
    <row r="11" spans="1:6" ht="0.75" customHeight="1" thickBot="1">
      <c r="A11" s="20"/>
      <c r="B11" s="21"/>
      <c r="C11" s="20"/>
      <c r="D11" s="20"/>
      <c r="E11" s="139"/>
      <c r="F11" s="139"/>
    </row>
    <row r="12" spans="1:6" ht="19.5" customHeight="1" thickBot="1">
      <c r="A12" s="31"/>
      <c r="B12" s="32" t="s">
        <v>479</v>
      </c>
      <c r="C12" s="31"/>
      <c r="D12" s="31"/>
      <c r="E12" s="138">
        <f>E13-E23</f>
        <v>66697</v>
      </c>
      <c r="F12" s="138">
        <f>F13-F23</f>
        <v>9094503</v>
      </c>
    </row>
    <row r="13" spans="1:6" ht="19.5" customHeight="1" thickBot="1">
      <c r="A13" s="24" t="s">
        <v>432</v>
      </c>
      <c r="B13" s="25" t="s">
        <v>457</v>
      </c>
      <c r="C13" s="24"/>
      <c r="D13" s="24"/>
      <c r="E13" s="137">
        <f>SUM(E14:E22)</f>
        <v>4441668</v>
      </c>
      <c r="F13" s="137">
        <f>SUM(F14:F22)</f>
        <v>11498503</v>
      </c>
    </row>
    <row r="14" spans="1:6" ht="19.5" customHeight="1">
      <c r="A14" s="486" t="s">
        <v>428</v>
      </c>
      <c r="B14" s="481" t="s">
        <v>350</v>
      </c>
      <c r="C14" s="487" t="s">
        <v>467</v>
      </c>
      <c r="D14" s="491" t="s">
        <v>467</v>
      </c>
      <c r="E14" s="133">
        <v>3338371</v>
      </c>
      <c r="F14" s="133">
        <f>-F10+F23-F22</f>
        <v>11498503</v>
      </c>
    </row>
    <row r="15" spans="1:6" ht="19.5" customHeight="1">
      <c r="A15" s="27" t="s">
        <v>429</v>
      </c>
      <c r="B15" s="482" t="s">
        <v>472</v>
      </c>
      <c r="C15" s="488" t="s">
        <v>467</v>
      </c>
      <c r="D15" s="492" t="s">
        <v>467</v>
      </c>
      <c r="E15" s="479">
        <v>0</v>
      </c>
      <c r="F15" s="479">
        <v>0</v>
      </c>
    </row>
    <row r="16" spans="1:6" ht="45">
      <c r="A16" s="22" t="s">
        <v>430</v>
      </c>
      <c r="B16" s="483" t="s">
        <v>351</v>
      </c>
      <c r="C16" s="489"/>
      <c r="D16" s="493" t="s">
        <v>352</v>
      </c>
      <c r="E16" s="479">
        <v>0</v>
      </c>
      <c r="F16" s="479">
        <v>0</v>
      </c>
    </row>
    <row r="17" spans="1:6" ht="19.5" customHeight="1">
      <c r="A17" s="22" t="s">
        <v>419</v>
      </c>
      <c r="B17" s="484" t="s">
        <v>458</v>
      </c>
      <c r="C17" s="489" t="s">
        <v>468</v>
      </c>
      <c r="D17" s="493" t="s">
        <v>353</v>
      </c>
      <c r="E17" s="479">
        <v>0</v>
      </c>
      <c r="F17" s="479">
        <v>0</v>
      </c>
    </row>
    <row r="18" spans="1:6" ht="19.5" customHeight="1">
      <c r="A18" s="22" t="s">
        <v>435</v>
      </c>
      <c r="B18" s="484" t="s">
        <v>459</v>
      </c>
      <c r="C18" s="489" t="s">
        <v>469</v>
      </c>
      <c r="D18" s="493" t="s">
        <v>354</v>
      </c>
      <c r="E18" s="479">
        <v>0</v>
      </c>
      <c r="F18" s="479">
        <v>0</v>
      </c>
    </row>
    <row r="19" spans="1:6" ht="21.75" customHeight="1">
      <c r="A19" s="22" t="s">
        <v>439</v>
      </c>
      <c r="B19" s="484" t="s">
        <v>444</v>
      </c>
      <c r="C19" s="489" t="s">
        <v>470</v>
      </c>
      <c r="D19" s="493" t="s">
        <v>470</v>
      </c>
      <c r="E19" s="479">
        <v>0</v>
      </c>
      <c r="F19" s="479">
        <v>0</v>
      </c>
    </row>
    <row r="20" spans="1:6" ht="19.5" customHeight="1">
      <c r="A20" s="22" t="s">
        <v>447</v>
      </c>
      <c r="B20" s="484" t="s">
        <v>355</v>
      </c>
      <c r="C20" s="489"/>
      <c r="D20" s="493" t="s">
        <v>356</v>
      </c>
      <c r="E20" s="479">
        <v>0</v>
      </c>
      <c r="F20" s="479">
        <v>0</v>
      </c>
    </row>
    <row r="21" spans="1:6" ht="19.5" customHeight="1">
      <c r="A21" s="26" t="s">
        <v>456</v>
      </c>
      <c r="B21" s="33" t="s">
        <v>357</v>
      </c>
      <c r="C21" s="487"/>
      <c r="D21" s="492" t="s">
        <v>358</v>
      </c>
      <c r="E21" s="479">
        <v>0</v>
      </c>
      <c r="F21" s="479">
        <v>0</v>
      </c>
    </row>
    <row r="22" spans="1:6" ht="19.5" customHeight="1" thickBot="1">
      <c r="A22" s="26" t="s">
        <v>515</v>
      </c>
      <c r="B22" s="33" t="s">
        <v>359</v>
      </c>
      <c r="C22" s="490" t="s">
        <v>468</v>
      </c>
      <c r="D22" s="492" t="s">
        <v>468</v>
      </c>
      <c r="E22" s="131">
        <v>1103297</v>
      </c>
      <c r="F22" s="131">
        <v>0</v>
      </c>
    </row>
    <row r="23" spans="1:6" ht="19.5" customHeight="1" thickBot="1">
      <c r="A23" s="24" t="s">
        <v>450</v>
      </c>
      <c r="B23" s="485" t="s">
        <v>460</v>
      </c>
      <c r="C23" s="30"/>
      <c r="D23" s="24"/>
      <c r="E23" s="137">
        <f>SUM(E24:E31)</f>
        <v>4374971</v>
      </c>
      <c r="F23" s="137">
        <f>SUM(F24:F31)</f>
        <v>2404000</v>
      </c>
    </row>
    <row r="24" spans="1:6" ht="19.5" customHeight="1">
      <c r="A24" s="486" t="s">
        <v>428</v>
      </c>
      <c r="B24" s="498" t="s">
        <v>446</v>
      </c>
      <c r="C24" s="500" t="s">
        <v>462</v>
      </c>
      <c r="D24" s="495" t="s">
        <v>462</v>
      </c>
      <c r="E24" s="502">
        <v>2374971</v>
      </c>
      <c r="F24" s="502">
        <v>404000</v>
      </c>
    </row>
    <row r="25" spans="1:6" ht="19.5" customHeight="1">
      <c r="A25" s="22" t="s">
        <v>429</v>
      </c>
      <c r="B25" s="23" t="s">
        <v>466</v>
      </c>
      <c r="C25" s="501"/>
      <c r="D25" s="493" t="s">
        <v>462</v>
      </c>
      <c r="E25" s="132"/>
      <c r="F25" s="132"/>
    </row>
    <row r="26" spans="1:6" ht="45">
      <c r="A26" s="22" t="s">
        <v>430</v>
      </c>
      <c r="B26" s="478" t="s">
        <v>361</v>
      </c>
      <c r="C26" s="501"/>
      <c r="D26" s="493" t="s">
        <v>362</v>
      </c>
      <c r="E26" s="132"/>
      <c r="F26" s="132"/>
    </row>
    <row r="27" spans="1:6" ht="19.5" customHeight="1">
      <c r="A27" s="22" t="s">
        <v>419</v>
      </c>
      <c r="B27" s="23" t="s">
        <v>363</v>
      </c>
      <c r="C27" s="501" t="s">
        <v>486</v>
      </c>
      <c r="D27" s="493" t="s">
        <v>486</v>
      </c>
      <c r="E27" s="132">
        <v>0</v>
      </c>
      <c r="F27" s="132">
        <v>0</v>
      </c>
    </row>
    <row r="28" spans="1:6" ht="19.5" customHeight="1">
      <c r="A28" s="22" t="s">
        <v>435</v>
      </c>
      <c r="B28" s="23" t="s">
        <v>364</v>
      </c>
      <c r="C28" s="501" t="s">
        <v>464</v>
      </c>
      <c r="D28" s="493" t="s">
        <v>464</v>
      </c>
      <c r="E28" s="132">
        <v>0</v>
      </c>
      <c r="F28" s="132">
        <v>0</v>
      </c>
    </row>
    <row r="29" spans="1:6" ht="17.25" customHeight="1">
      <c r="A29" s="22" t="s">
        <v>439</v>
      </c>
      <c r="B29" s="23" t="s">
        <v>445</v>
      </c>
      <c r="C29" s="501" t="s">
        <v>465</v>
      </c>
      <c r="D29" s="493" t="s">
        <v>465</v>
      </c>
      <c r="E29" s="132">
        <v>2000000</v>
      </c>
      <c r="F29" s="132">
        <v>2000000</v>
      </c>
    </row>
    <row r="30" spans="1:6" ht="17.25" customHeight="1">
      <c r="A30" s="22" t="s">
        <v>447</v>
      </c>
      <c r="B30" s="23" t="s">
        <v>406</v>
      </c>
      <c r="C30" s="501"/>
      <c r="D30" s="493" t="s">
        <v>365</v>
      </c>
      <c r="E30" s="132"/>
      <c r="F30" s="132"/>
    </row>
    <row r="31" spans="1:6" ht="17.25" customHeight="1" thickBot="1">
      <c r="A31" s="497" t="s">
        <v>456</v>
      </c>
      <c r="B31" s="499" t="s">
        <v>461</v>
      </c>
      <c r="C31" s="501" t="s">
        <v>463</v>
      </c>
      <c r="D31" s="496" t="s">
        <v>360</v>
      </c>
      <c r="E31" s="503">
        <v>0</v>
      </c>
      <c r="F31" s="503">
        <v>0</v>
      </c>
    </row>
    <row r="32" spans="1:6" ht="19.5" customHeight="1">
      <c r="A32" s="6"/>
      <c r="B32" s="7"/>
      <c r="C32" s="7"/>
      <c r="D32" s="7"/>
      <c r="E32" s="134"/>
      <c r="F32" s="134"/>
    </row>
    <row r="33" spans="1:6" ht="30" hidden="1">
      <c r="A33" s="42" t="s">
        <v>473</v>
      </c>
      <c r="B33" s="45" t="s">
        <v>487</v>
      </c>
      <c r="C33" s="43"/>
      <c r="D33" s="43"/>
      <c r="E33" s="141">
        <f>E23</f>
        <v>4374971</v>
      </c>
      <c r="F33" s="144">
        <f>F23</f>
        <v>2404000</v>
      </c>
    </row>
    <row r="34" spans="1:6" ht="30" hidden="1">
      <c r="A34" s="34" t="s">
        <v>474</v>
      </c>
      <c r="B34" s="44" t="s">
        <v>480</v>
      </c>
      <c r="C34" s="39"/>
      <c r="D34" s="39"/>
      <c r="E34" s="142">
        <f>E7-E33</f>
        <v>51128117</v>
      </c>
      <c r="F34" s="145">
        <f>F7-F33</f>
        <v>51753438</v>
      </c>
    </row>
    <row r="35" spans="1:6" ht="30" hidden="1">
      <c r="A35" s="34" t="s">
        <v>475</v>
      </c>
      <c r="B35" s="44" t="s">
        <v>476</v>
      </c>
      <c r="C35" s="39"/>
      <c r="D35" s="39"/>
      <c r="E35" s="142">
        <f>E8-E34</f>
        <v>4441668</v>
      </c>
      <c r="F35" s="145">
        <f>F8-F34</f>
        <v>11498503</v>
      </c>
    </row>
    <row r="36" spans="1:6" ht="45.75" hidden="1" thickBot="1">
      <c r="A36" s="35" t="s">
        <v>477</v>
      </c>
      <c r="B36" s="40" t="s">
        <v>478</v>
      </c>
      <c r="C36" s="41"/>
      <c r="D36" s="41"/>
      <c r="E36" s="143">
        <f>SUM(E13)</f>
        <v>4441668</v>
      </c>
      <c r="F36" s="146">
        <f>SUM(F13)</f>
        <v>11498503</v>
      </c>
    </row>
    <row r="37" spans="1:6" ht="12.75">
      <c r="A37" s="6"/>
      <c r="B37" s="6"/>
      <c r="C37" s="6"/>
      <c r="D37" s="6"/>
      <c r="E37" s="134"/>
      <c r="F37" s="134"/>
    </row>
    <row r="38" spans="1:6" ht="12.75">
      <c r="A38" s="5"/>
      <c r="E38" s="135"/>
      <c r="F38" s="135"/>
    </row>
    <row r="39" spans="1:6" ht="12.75">
      <c r="A39" s="5"/>
      <c r="E39" s="135"/>
      <c r="F39" s="135"/>
    </row>
    <row r="40" spans="5:6" s="38" customFormat="1" ht="15">
      <c r="E40" s="136"/>
      <c r="F40" s="136"/>
    </row>
    <row r="41" spans="1:6" ht="12.75">
      <c r="A41" s="5"/>
      <c r="E41" s="135"/>
      <c r="F41" s="135"/>
    </row>
    <row r="42" spans="1:6" ht="12.75">
      <c r="A42" s="5"/>
      <c r="E42" s="135"/>
      <c r="F42" s="135"/>
    </row>
    <row r="43" spans="1:6" ht="12.75">
      <c r="A43" s="5"/>
      <c r="E43" s="135"/>
      <c r="F43" s="135"/>
    </row>
    <row r="44" spans="1:6" ht="12.75">
      <c r="A44" s="5"/>
      <c r="E44" s="135"/>
      <c r="F44" s="135"/>
    </row>
    <row r="45" spans="1:6" ht="12.75">
      <c r="A45" s="5"/>
      <c r="E45" s="135"/>
      <c r="F45" s="135"/>
    </row>
    <row r="46" spans="1:6" ht="12.75">
      <c r="A46" s="5"/>
      <c r="E46" s="135"/>
      <c r="F46" s="135"/>
    </row>
    <row r="47" spans="1:6" ht="12.75">
      <c r="A47" s="5"/>
      <c r="E47" s="135"/>
      <c r="F47" s="135"/>
    </row>
    <row r="48" spans="1:6" ht="12.75">
      <c r="A48" s="5"/>
      <c r="E48" s="135"/>
      <c r="F48" s="135"/>
    </row>
    <row r="49" spans="5:6" ht="12.75">
      <c r="E49" s="135"/>
      <c r="F49" s="135"/>
    </row>
    <row r="50" spans="5:6" ht="12.75">
      <c r="E50" s="135"/>
      <c r="F50" s="135"/>
    </row>
    <row r="51" spans="5:6" ht="12.75">
      <c r="E51" s="135"/>
      <c r="F51" s="135"/>
    </row>
    <row r="52" spans="5:6" ht="12.75">
      <c r="E52" s="135"/>
      <c r="F52" s="135"/>
    </row>
    <row r="53" spans="5:6" ht="12.75">
      <c r="E53" s="135"/>
      <c r="F53" s="135"/>
    </row>
    <row r="54" spans="5:6" ht="12.75">
      <c r="E54" s="135"/>
      <c r="F54" s="135"/>
    </row>
    <row r="55" spans="5:6" ht="12.75">
      <c r="E55" s="135"/>
      <c r="F55" s="135"/>
    </row>
    <row r="56" spans="5:6" ht="12.75">
      <c r="E56" s="135"/>
      <c r="F56" s="135"/>
    </row>
    <row r="57" spans="5:6" ht="12.75">
      <c r="E57" s="135"/>
      <c r="F57" s="135"/>
    </row>
    <row r="58" spans="5:6" ht="12.75">
      <c r="E58" s="135"/>
      <c r="F58" s="135"/>
    </row>
    <row r="59" spans="5:6" ht="12.75">
      <c r="E59" s="135"/>
      <c r="F59" s="135"/>
    </row>
    <row r="60" spans="5:6" ht="12.75">
      <c r="E60" s="135"/>
      <c r="F60" s="135"/>
    </row>
    <row r="61" spans="5:6" ht="12.75">
      <c r="E61" s="135"/>
      <c r="F61" s="135"/>
    </row>
    <row r="62" spans="5:6" ht="12.75">
      <c r="E62" s="135"/>
      <c r="F62" s="135"/>
    </row>
    <row r="63" spans="5:6" ht="12.75">
      <c r="E63" s="135"/>
      <c r="F63" s="135"/>
    </row>
    <row r="64" spans="5:6" ht="12.75">
      <c r="E64" s="135"/>
      <c r="F64" s="135"/>
    </row>
    <row r="65" spans="5:6" ht="12.75">
      <c r="E65" s="135"/>
      <c r="F65" s="135"/>
    </row>
    <row r="66" spans="5:6" ht="12.75">
      <c r="E66" s="135"/>
      <c r="F66" s="135"/>
    </row>
    <row r="67" spans="5:6" ht="12.75">
      <c r="E67" s="135"/>
      <c r="F67" s="135"/>
    </row>
    <row r="68" spans="5:6" ht="12.75">
      <c r="E68" s="135"/>
      <c r="F68" s="135"/>
    </row>
    <row r="69" spans="5:6" ht="12.75">
      <c r="E69" s="135"/>
      <c r="F69" s="135"/>
    </row>
    <row r="70" spans="5:6" ht="12.75">
      <c r="E70" s="135"/>
      <c r="F70" s="135"/>
    </row>
    <row r="71" spans="5:6" ht="12.75">
      <c r="E71" s="135"/>
      <c r="F71" s="135"/>
    </row>
    <row r="72" spans="5:6" ht="12.75">
      <c r="E72" s="135"/>
      <c r="F72" s="135"/>
    </row>
    <row r="73" spans="5:6" ht="12.75">
      <c r="E73" s="135"/>
      <c r="F73" s="135"/>
    </row>
    <row r="74" spans="5:6" ht="12.75">
      <c r="E74" s="135"/>
      <c r="F74" s="135"/>
    </row>
    <row r="75" spans="5:6" ht="12.75">
      <c r="E75" s="135"/>
      <c r="F75" s="135"/>
    </row>
    <row r="76" spans="5:6" ht="12.75">
      <c r="E76" s="135"/>
      <c r="F76" s="135"/>
    </row>
    <row r="77" spans="5:6" ht="12.75">
      <c r="E77" s="135"/>
      <c r="F77" s="135"/>
    </row>
    <row r="78" spans="5:6" ht="12.75">
      <c r="E78" s="135"/>
      <c r="F78" s="135"/>
    </row>
    <row r="79" spans="5:6" ht="12.75">
      <c r="E79" s="135"/>
      <c r="F79" s="135"/>
    </row>
    <row r="80" spans="5:6" ht="12.75">
      <c r="E80" s="135"/>
      <c r="F80" s="135"/>
    </row>
    <row r="81" spans="5:6" ht="12.75">
      <c r="E81" s="135"/>
      <c r="F81" s="135"/>
    </row>
    <row r="82" spans="5:6" ht="12.75">
      <c r="E82" s="135"/>
      <c r="F82" s="135"/>
    </row>
    <row r="83" spans="5:6" ht="12.75">
      <c r="E83" s="135"/>
      <c r="F83" s="135"/>
    </row>
  </sheetData>
  <mergeCells count="2">
    <mergeCell ref="E4:F4"/>
    <mergeCell ref="A1:F2"/>
  </mergeCells>
  <printOptions horizontalCentered="1" verticalCentered="1"/>
  <pageMargins left="0.68" right="0.27" top="0.5905511811023623" bottom="0.5905511811023623" header="0.84" footer="0.5118110236220472"/>
  <pageSetup horizontalDpi="600" verticalDpi="600" orientation="portrait" paperSize="9" r:id="rId1"/>
  <headerFooter alignWithMargins="0">
    <oddHeader>&amp;R
Załącznik nr 9
do uchwały Rady Powiatu Nr XXXIV/284/2005  
z dnia  29 grudnia 2005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2" sqref="I2"/>
    </sheetView>
  </sheetViews>
  <sheetFormatPr defaultColWidth="9.00390625" defaultRowHeight="12.75"/>
  <cols>
    <col min="1" max="1" width="4.00390625" style="70" customWidth="1"/>
    <col min="2" max="2" width="38.125" style="70" customWidth="1"/>
    <col min="3" max="3" width="14.00390625" style="70" customWidth="1"/>
    <col min="4" max="4" width="13.875" style="70" customWidth="1"/>
    <col min="5" max="6" width="15.25390625" style="70" customWidth="1"/>
    <col min="7" max="7" width="13.00390625" style="70" customWidth="1"/>
    <col min="8" max="8" width="10.375" style="70" customWidth="1"/>
    <col min="9" max="9" width="3.375" style="70" customWidth="1"/>
    <col min="10" max="16384" width="9.125" style="70" customWidth="1"/>
  </cols>
  <sheetData>
    <row r="1" spans="4:9" ht="13.5" customHeight="1">
      <c r="D1" s="328"/>
      <c r="E1" s="329"/>
      <c r="F1" s="330"/>
      <c r="I1" s="178" t="s">
        <v>137</v>
      </c>
    </row>
    <row r="2" spans="4:9" ht="13.5" customHeight="1">
      <c r="D2" s="331"/>
      <c r="E2" s="330"/>
      <c r="F2" s="329"/>
      <c r="I2" s="176" t="s">
        <v>764</v>
      </c>
    </row>
    <row r="3" spans="4:9" ht="13.5" customHeight="1">
      <c r="D3" s="331"/>
      <c r="E3" s="330"/>
      <c r="F3" s="329"/>
      <c r="G3" s="71"/>
      <c r="H3" s="72"/>
      <c r="I3" s="176" t="s">
        <v>46</v>
      </c>
    </row>
    <row r="4" spans="4:8" ht="15.75" customHeight="1">
      <c r="D4" s="331"/>
      <c r="E4" s="330"/>
      <c r="F4" s="329"/>
      <c r="G4" s="71"/>
      <c r="H4" s="72"/>
    </row>
    <row r="5" spans="2:8" ht="16.5" customHeight="1">
      <c r="B5" s="75" t="s">
        <v>367</v>
      </c>
      <c r="C5" s="76"/>
      <c r="G5" s="74"/>
      <c r="H5" s="74"/>
    </row>
    <row r="6" spans="2:8" ht="16.5" customHeight="1">
      <c r="B6" s="332" t="s">
        <v>366</v>
      </c>
      <c r="C6" s="333"/>
      <c r="G6" s="74"/>
      <c r="H6" s="74"/>
    </row>
    <row r="7" spans="2:8" ht="17.25" customHeight="1">
      <c r="B7" s="73"/>
      <c r="G7" s="334"/>
      <c r="H7" s="334" t="s">
        <v>481</v>
      </c>
    </row>
    <row r="8" spans="1:9" s="59" customFormat="1" ht="20.25" customHeight="1">
      <c r="A8" s="661" t="s">
        <v>488</v>
      </c>
      <c r="B8" s="724" t="s">
        <v>418</v>
      </c>
      <c r="C8" s="661" t="s">
        <v>370</v>
      </c>
      <c r="D8" s="661" t="s">
        <v>368</v>
      </c>
      <c r="E8" s="661"/>
      <c r="F8" s="661" t="s">
        <v>424</v>
      </c>
      <c r="G8" s="661"/>
      <c r="H8" s="661" t="s">
        <v>371</v>
      </c>
      <c r="I8" s="661"/>
    </row>
    <row r="9" spans="1:9" s="61" customFormat="1" ht="20.25" customHeight="1">
      <c r="A9" s="661"/>
      <c r="B9" s="724"/>
      <c r="C9" s="661"/>
      <c r="D9" s="58" t="s">
        <v>499</v>
      </c>
      <c r="E9" s="60" t="s">
        <v>500</v>
      </c>
      <c r="F9" s="58" t="s">
        <v>499</v>
      </c>
      <c r="G9" s="60" t="s">
        <v>501</v>
      </c>
      <c r="H9" s="661"/>
      <c r="I9" s="661"/>
    </row>
    <row r="10" spans="1:9" s="66" customFormat="1" ht="18.75" customHeight="1">
      <c r="A10" s="63" t="s">
        <v>502</v>
      </c>
      <c r="B10" s="64" t="s">
        <v>505</v>
      </c>
      <c r="C10" s="65">
        <f>SUM(C11:C13)</f>
        <v>1213462</v>
      </c>
      <c r="D10" s="65">
        <f>SUM(D11:D13)</f>
        <v>2850500</v>
      </c>
      <c r="E10" s="65">
        <f>SUM(E11:E13)</f>
        <v>0</v>
      </c>
      <c r="F10" s="65">
        <f>SUM(F11:F13)</f>
        <v>2847876</v>
      </c>
      <c r="G10" s="65">
        <f>SUM(G11:G13)</f>
        <v>2624</v>
      </c>
      <c r="H10" s="743">
        <f>C10+D10-F10</f>
        <v>1216086</v>
      </c>
      <c r="I10" s="743"/>
    </row>
    <row r="11" spans="1:9" s="59" customFormat="1" ht="24">
      <c r="A11" s="60" t="s">
        <v>428</v>
      </c>
      <c r="B11" s="335" t="s">
        <v>506</v>
      </c>
      <c r="C11" s="62">
        <v>1046108</v>
      </c>
      <c r="D11" s="62">
        <v>960000</v>
      </c>
      <c r="E11" s="62" t="s">
        <v>503</v>
      </c>
      <c r="F11" s="62">
        <f>958252+874</f>
        <v>959126</v>
      </c>
      <c r="G11" s="62">
        <v>874</v>
      </c>
      <c r="H11" s="742">
        <f>C11+D11-F11:F11</f>
        <v>1046982</v>
      </c>
      <c r="I11" s="742"/>
    </row>
    <row r="12" spans="1:9" s="59" customFormat="1" ht="24">
      <c r="A12" s="60" t="s">
        <v>429</v>
      </c>
      <c r="B12" s="335" t="s">
        <v>507</v>
      </c>
      <c r="C12" s="62">
        <v>152215</v>
      </c>
      <c r="D12" s="62">
        <v>1800000</v>
      </c>
      <c r="E12" s="62" t="s">
        <v>503</v>
      </c>
      <c r="F12" s="62">
        <v>1800000</v>
      </c>
      <c r="G12" s="62" t="s">
        <v>503</v>
      </c>
      <c r="H12" s="742">
        <f>C12+D12-F11:F12</f>
        <v>152215</v>
      </c>
      <c r="I12" s="742"/>
    </row>
    <row r="13" spans="1:9" s="59" customFormat="1" ht="25.5">
      <c r="A13" s="60" t="s">
        <v>430</v>
      </c>
      <c r="B13" s="67" t="s">
        <v>508</v>
      </c>
      <c r="C13" s="62">
        <v>15139</v>
      </c>
      <c r="D13" s="62">
        <v>90500</v>
      </c>
      <c r="E13" s="62" t="s">
        <v>503</v>
      </c>
      <c r="F13" s="62">
        <f>87000+1750</f>
        <v>88750</v>
      </c>
      <c r="G13" s="62">
        <v>1750</v>
      </c>
      <c r="H13" s="742">
        <f>C13+D13-F12:F13</f>
        <v>16889</v>
      </c>
      <c r="I13" s="742"/>
    </row>
    <row r="14" spans="1:9" s="79" customFormat="1" ht="19.5" customHeight="1">
      <c r="A14" s="77" t="s">
        <v>504</v>
      </c>
      <c r="B14" s="78" t="s">
        <v>150</v>
      </c>
      <c r="C14" s="68">
        <f>SUM(C15:C23)</f>
        <v>55913</v>
      </c>
      <c r="D14" s="83">
        <f>SUM(D15:D23)</f>
        <v>1109139</v>
      </c>
      <c r="E14" s="82" t="s">
        <v>503</v>
      </c>
      <c r="F14" s="83">
        <f>SUM(F15:F23)</f>
        <v>1136379</v>
      </c>
      <c r="G14" s="82" t="s">
        <v>503</v>
      </c>
      <c r="H14" s="744">
        <f>SUM(H15:I23)</f>
        <v>28673</v>
      </c>
      <c r="I14" s="745"/>
    </row>
    <row r="15" spans="1:9" s="80" customFormat="1" ht="18" customHeight="1">
      <c r="A15" s="377" t="s">
        <v>428</v>
      </c>
      <c r="B15" s="348" t="s">
        <v>509</v>
      </c>
      <c r="C15" s="62">
        <v>14009</v>
      </c>
      <c r="D15" s="350">
        <v>25500</v>
      </c>
      <c r="E15" s="82" t="s">
        <v>503</v>
      </c>
      <c r="F15" s="350">
        <v>39500</v>
      </c>
      <c r="G15" s="82" t="s">
        <v>503</v>
      </c>
      <c r="H15" s="740">
        <f>C15+D15-F15</f>
        <v>9</v>
      </c>
      <c r="I15" s="741"/>
    </row>
    <row r="16" spans="1:9" s="80" customFormat="1" ht="18" customHeight="1">
      <c r="A16" s="377" t="s">
        <v>429</v>
      </c>
      <c r="B16" s="348" t="s">
        <v>510</v>
      </c>
      <c r="C16" s="62">
        <v>0</v>
      </c>
      <c r="D16" s="350">
        <v>29912</v>
      </c>
      <c r="E16" s="82" t="s">
        <v>503</v>
      </c>
      <c r="F16" s="350">
        <v>29912</v>
      </c>
      <c r="G16" s="82"/>
      <c r="H16" s="740">
        <f aca="true" t="shared" si="0" ref="H16:H22">C16+D16-F16</f>
        <v>0</v>
      </c>
      <c r="I16" s="741"/>
    </row>
    <row r="17" spans="1:9" s="59" customFormat="1" ht="25.5" customHeight="1">
      <c r="A17" s="377" t="s">
        <v>419</v>
      </c>
      <c r="B17" s="335" t="s">
        <v>511</v>
      </c>
      <c r="C17" s="62">
        <v>8000</v>
      </c>
      <c r="D17" s="349">
        <v>260000</v>
      </c>
      <c r="E17" s="349" t="s">
        <v>503</v>
      </c>
      <c r="F17" s="349">
        <v>266000</v>
      </c>
      <c r="G17" s="349" t="s">
        <v>503</v>
      </c>
      <c r="H17" s="740">
        <f t="shared" si="0"/>
        <v>2000</v>
      </c>
      <c r="I17" s="741"/>
    </row>
    <row r="18" spans="1:9" s="59" customFormat="1" ht="18.75" customHeight="1">
      <c r="A18" s="377" t="s">
        <v>435</v>
      </c>
      <c r="B18" s="335" t="s">
        <v>512</v>
      </c>
      <c r="C18" s="62">
        <v>12923</v>
      </c>
      <c r="D18" s="349">
        <v>307400</v>
      </c>
      <c r="E18" s="349" t="s">
        <v>503</v>
      </c>
      <c r="F18" s="349">
        <v>315900</v>
      </c>
      <c r="G18" s="349" t="s">
        <v>503</v>
      </c>
      <c r="H18" s="740">
        <f t="shared" si="0"/>
        <v>4423</v>
      </c>
      <c r="I18" s="741"/>
    </row>
    <row r="19" spans="1:9" s="59" customFormat="1" ht="25.5" customHeight="1">
      <c r="A19" s="377" t="s">
        <v>439</v>
      </c>
      <c r="B19" s="335" t="s">
        <v>513</v>
      </c>
      <c r="C19" s="62">
        <v>0</v>
      </c>
      <c r="D19" s="349">
        <v>148300</v>
      </c>
      <c r="E19" s="349" t="s">
        <v>503</v>
      </c>
      <c r="F19" s="349">
        <v>148300</v>
      </c>
      <c r="G19" s="349" t="s">
        <v>503</v>
      </c>
      <c r="H19" s="740">
        <f t="shared" si="0"/>
        <v>0</v>
      </c>
      <c r="I19" s="741"/>
    </row>
    <row r="20" spans="1:9" s="59" customFormat="1" ht="20.25" customHeight="1">
      <c r="A20" s="377" t="s">
        <v>447</v>
      </c>
      <c r="B20" s="335" t="s">
        <v>514</v>
      </c>
      <c r="C20" s="62">
        <v>10877</v>
      </c>
      <c r="D20" s="349">
        <v>70000</v>
      </c>
      <c r="E20" s="349" t="s">
        <v>503</v>
      </c>
      <c r="F20" s="349">
        <v>70000</v>
      </c>
      <c r="G20" s="349" t="s">
        <v>503</v>
      </c>
      <c r="H20" s="740">
        <f t="shared" si="0"/>
        <v>10877</v>
      </c>
      <c r="I20" s="741"/>
    </row>
    <row r="21" spans="1:9" s="59" customFormat="1" ht="20.25" customHeight="1">
      <c r="A21" s="377" t="s">
        <v>456</v>
      </c>
      <c r="B21" s="335" t="s">
        <v>516</v>
      </c>
      <c r="C21" s="62">
        <v>0</v>
      </c>
      <c r="D21" s="349">
        <v>153240</v>
      </c>
      <c r="E21" s="349" t="s">
        <v>503</v>
      </c>
      <c r="F21" s="349">
        <v>153240</v>
      </c>
      <c r="G21" s="349" t="s">
        <v>503</v>
      </c>
      <c r="H21" s="740">
        <f t="shared" si="0"/>
        <v>0</v>
      </c>
      <c r="I21" s="741"/>
    </row>
    <row r="22" spans="1:9" s="59" customFormat="1" ht="20.25" customHeight="1">
      <c r="A22" s="377" t="s">
        <v>515</v>
      </c>
      <c r="B22" s="335" t="s">
        <v>518</v>
      </c>
      <c r="C22" s="62">
        <v>8956</v>
      </c>
      <c r="D22" s="349">
        <v>74527</v>
      </c>
      <c r="E22" s="349" t="s">
        <v>503</v>
      </c>
      <c r="F22" s="349">
        <v>74527</v>
      </c>
      <c r="G22" s="349" t="s">
        <v>503</v>
      </c>
      <c r="H22" s="740">
        <f t="shared" si="0"/>
        <v>8956</v>
      </c>
      <c r="I22" s="741"/>
    </row>
    <row r="23" spans="1:9" ht="20.25" customHeight="1">
      <c r="A23" s="377" t="s">
        <v>517</v>
      </c>
      <c r="B23" s="351" t="s">
        <v>116</v>
      </c>
      <c r="C23" s="62">
        <v>1148</v>
      </c>
      <c r="D23" s="349">
        <v>40260</v>
      </c>
      <c r="E23" s="349" t="s">
        <v>503</v>
      </c>
      <c r="F23" s="349">
        <v>39000</v>
      </c>
      <c r="G23" s="349" t="s">
        <v>503</v>
      </c>
      <c r="H23" s="740">
        <f>C23+D23-F23</f>
        <v>2408</v>
      </c>
      <c r="I23" s="741"/>
    </row>
    <row r="24" spans="1:9" s="69" customFormat="1" ht="20.25" customHeight="1">
      <c r="A24" s="724" t="s">
        <v>389</v>
      </c>
      <c r="B24" s="724"/>
      <c r="C24" s="68">
        <f>SUM(C14,C10)</f>
        <v>1269375</v>
      </c>
      <c r="D24" s="68">
        <f>SUM(D14,D10)</f>
        <v>3959639</v>
      </c>
      <c r="E24" s="68">
        <f>SUM(E14,E10)</f>
        <v>0</v>
      </c>
      <c r="F24" s="68">
        <f>SUM(F14,F10)</f>
        <v>3984255</v>
      </c>
      <c r="G24" s="68">
        <f>SUM(G14,G10)</f>
        <v>2624</v>
      </c>
      <c r="H24" s="743">
        <f>SUM(H10,H14)</f>
        <v>1244759</v>
      </c>
      <c r="I24" s="743"/>
    </row>
    <row r="25" ht="8.25" customHeight="1"/>
    <row r="26" spans="1:5" ht="12.75">
      <c r="A26" s="504" t="s">
        <v>369</v>
      </c>
      <c r="D26" s="84"/>
      <c r="E26" s="84"/>
    </row>
    <row r="27" ht="12.75">
      <c r="E27" s="84"/>
    </row>
    <row r="28" ht="12.75">
      <c r="E28" s="84"/>
    </row>
  </sheetData>
  <mergeCells count="22">
    <mergeCell ref="F8:G8"/>
    <mergeCell ref="H8:I9"/>
    <mergeCell ref="A8:A9"/>
    <mergeCell ref="B8:B9"/>
    <mergeCell ref="C8:C9"/>
    <mergeCell ref="D8:E8"/>
    <mergeCell ref="H13:I13"/>
    <mergeCell ref="A24:B24"/>
    <mergeCell ref="H24:I24"/>
    <mergeCell ref="H10:I10"/>
    <mergeCell ref="H11:I11"/>
    <mergeCell ref="H12:I12"/>
    <mergeCell ref="H14:I14"/>
    <mergeCell ref="H15:I15"/>
    <mergeCell ref="H16:I16"/>
    <mergeCell ref="H21:I21"/>
    <mergeCell ref="H22:I22"/>
    <mergeCell ref="H23:I23"/>
    <mergeCell ref="H17:I17"/>
    <mergeCell ref="H18:I18"/>
    <mergeCell ref="H19:I19"/>
    <mergeCell ref="H20:I20"/>
  </mergeCells>
  <printOptions/>
  <pageMargins left="0.75" right="0.75" top="0.66" bottom="0.21" header="0.5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E2" sqref="E2"/>
    </sheetView>
  </sheetViews>
  <sheetFormatPr defaultColWidth="9.00390625" defaultRowHeight="12.75"/>
  <cols>
    <col min="1" max="1" width="16.75390625" style="0" customWidth="1"/>
    <col min="2" max="2" width="8.75390625" style="0" customWidth="1"/>
    <col min="3" max="3" width="10.00390625" style="0" customWidth="1"/>
    <col min="4" max="4" width="60.125" style="0" customWidth="1"/>
    <col min="5" max="5" width="20.125" style="0" customWidth="1"/>
  </cols>
  <sheetData>
    <row r="1" spans="4:6" ht="12.75">
      <c r="D1" s="178"/>
      <c r="E1" s="130" t="s">
        <v>142</v>
      </c>
      <c r="F1" s="178"/>
    </row>
    <row r="2" spans="4:6" ht="14.25">
      <c r="D2" s="176"/>
      <c r="E2" s="176" t="s">
        <v>764</v>
      </c>
      <c r="F2" s="176"/>
    </row>
    <row r="3" spans="4:6" ht="14.25">
      <c r="D3" s="176"/>
      <c r="E3" s="176" t="s">
        <v>46</v>
      </c>
      <c r="F3" s="176"/>
    </row>
    <row r="5" spans="3:5" ht="18" customHeight="1">
      <c r="C5" s="746" t="s">
        <v>372</v>
      </c>
      <c r="D5" s="747"/>
      <c r="E5" s="747"/>
    </row>
    <row r="6" spans="3:5" ht="18">
      <c r="C6" s="746" t="s">
        <v>95</v>
      </c>
      <c r="D6" s="747"/>
      <c r="E6" s="747"/>
    </row>
    <row r="7" ht="18">
      <c r="D7" s="46" t="s">
        <v>224</v>
      </c>
    </row>
    <row r="8" ht="13.5" thickBot="1"/>
    <row r="9" spans="2:5" ht="30.75" customHeight="1" thickBot="1">
      <c r="B9" s="511" t="s">
        <v>420</v>
      </c>
      <c r="C9" s="512" t="s">
        <v>421</v>
      </c>
      <c r="D9" s="512" t="s">
        <v>482</v>
      </c>
      <c r="E9" s="513" t="s">
        <v>423</v>
      </c>
    </row>
    <row r="10" spans="2:5" ht="13.5" thickBot="1">
      <c r="B10" s="514">
        <v>1</v>
      </c>
      <c r="C10" s="515">
        <v>2</v>
      </c>
      <c r="D10" s="515">
        <v>3</v>
      </c>
      <c r="E10" s="516">
        <v>4</v>
      </c>
    </row>
    <row r="11" spans="2:5" s="355" customFormat="1" ht="14.25" customHeight="1">
      <c r="B11" s="507">
        <v>750</v>
      </c>
      <c r="C11" s="508">
        <v>75095</v>
      </c>
      <c r="D11" s="509" t="s">
        <v>132</v>
      </c>
      <c r="E11" s="510">
        <v>5000</v>
      </c>
    </row>
    <row r="12" spans="2:5" s="355" customFormat="1" ht="24">
      <c r="B12" s="505">
        <v>754</v>
      </c>
      <c r="C12" s="353">
        <v>75415</v>
      </c>
      <c r="D12" s="354" t="s">
        <v>96</v>
      </c>
      <c r="E12" s="506">
        <v>5000</v>
      </c>
    </row>
    <row r="13" spans="2:5" s="355" customFormat="1" ht="12">
      <c r="B13" s="505">
        <v>754</v>
      </c>
      <c r="C13" s="353">
        <v>75495</v>
      </c>
      <c r="D13" s="354" t="s">
        <v>225</v>
      </c>
      <c r="E13" s="506">
        <v>3000</v>
      </c>
    </row>
    <row r="14" spans="2:5" s="355" customFormat="1" ht="18" customHeight="1">
      <c r="B14" s="505">
        <v>851</v>
      </c>
      <c r="C14" s="353">
        <v>85195</v>
      </c>
      <c r="D14" s="354" t="s">
        <v>97</v>
      </c>
      <c r="E14" s="506">
        <v>8200</v>
      </c>
    </row>
    <row r="15" spans="2:5" s="355" customFormat="1" ht="18" customHeight="1">
      <c r="B15" s="505">
        <v>852</v>
      </c>
      <c r="C15" s="353">
        <v>85201</v>
      </c>
      <c r="D15" s="354" t="s">
        <v>98</v>
      </c>
      <c r="E15" s="506">
        <v>89200</v>
      </c>
    </row>
    <row r="16" spans="2:5" s="355" customFormat="1" ht="36">
      <c r="B16" s="505">
        <v>852</v>
      </c>
      <c r="C16" s="353">
        <v>85204</v>
      </c>
      <c r="D16" s="354" t="s">
        <v>123</v>
      </c>
      <c r="E16" s="506">
        <v>5000</v>
      </c>
    </row>
    <row r="17" spans="2:5" s="355" customFormat="1" ht="24">
      <c r="B17" s="505">
        <v>854</v>
      </c>
      <c r="C17" s="353">
        <v>85415</v>
      </c>
      <c r="D17" s="354" t="s">
        <v>101</v>
      </c>
      <c r="E17" s="506">
        <v>12000</v>
      </c>
    </row>
    <row r="18" spans="2:5" s="355" customFormat="1" ht="18" customHeight="1">
      <c r="B18" s="505">
        <v>921</v>
      </c>
      <c r="C18" s="353">
        <v>92195</v>
      </c>
      <c r="D18" s="354" t="s">
        <v>102</v>
      </c>
      <c r="E18" s="506">
        <v>15000</v>
      </c>
    </row>
    <row r="19" spans="2:5" s="355" customFormat="1" ht="24.75" thickBot="1">
      <c r="B19" s="517">
        <v>926</v>
      </c>
      <c r="C19" s="518">
        <v>92695</v>
      </c>
      <c r="D19" s="519" t="s">
        <v>103</v>
      </c>
      <c r="E19" s="520">
        <v>18000</v>
      </c>
    </row>
    <row r="20" spans="2:5" s="1" customFormat="1" ht="27" customHeight="1" thickBot="1">
      <c r="B20" s="748" t="s">
        <v>492</v>
      </c>
      <c r="C20" s="749"/>
      <c r="D20" s="750"/>
      <c r="E20" s="521">
        <f>SUM(E11:E19)</f>
        <v>160400</v>
      </c>
    </row>
  </sheetData>
  <mergeCells count="3">
    <mergeCell ref="C5:E5"/>
    <mergeCell ref="C6:E6"/>
    <mergeCell ref="B20:D20"/>
  </mergeCells>
  <printOptions/>
  <pageMargins left="0.75" right="0.75" top="1.18" bottom="1" header="0.9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2" sqref="C2"/>
    </sheetView>
  </sheetViews>
  <sheetFormatPr defaultColWidth="9.00390625" defaultRowHeight="12.75"/>
  <cols>
    <col min="1" max="1" width="7.875" style="0" customWidth="1"/>
    <col min="2" max="2" width="68.125" style="0" customWidth="1"/>
    <col min="3" max="3" width="18.625" style="0" customWidth="1"/>
  </cols>
  <sheetData>
    <row r="1" spans="2:4" ht="12.75">
      <c r="B1" s="178"/>
      <c r="C1" s="178" t="s">
        <v>139</v>
      </c>
      <c r="D1" s="178"/>
    </row>
    <row r="2" spans="2:4" ht="14.25">
      <c r="B2" s="176"/>
      <c r="C2" s="176" t="s">
        <v>764</v>
      </c>
      <c r="D2" s="176"/>
    </row>
    <row r="3" spans="2:4" ht="14.25">
      <c r="B3" s="176"/>
      <c r="C3" s="176" t="s">
        <v>46</v>
      </c>
      <c r="D3" s="176"/>
    </row>
    <row r="4" spans="2:3" ht="12.75">
      <c r="B4" s="751"/>
      <c r="C4" s="751"/>
    </row>
    <row r="6" spans="2:3" ht="18">
      <c r="B6" s="746" t="s">
        <v>373</v>
      </c>
      <c r="C6" s="746"/>
    </row>
    <row r="7" spans="2:3" ht="18">
      <c r="B7" s="746" t="s">
        <v>185</v>
      </c>
      <c r="C7" s="746"/>
    </row>
    <row r="9" ht="13.5" thickBot="1">
      <c r="C9" s="243" t="s">
        <v>94</v>
      </c>
    </row>
    <row r="10" spans="1:3" s="185" customFormat="1" ht="12.75">
      <c r="A10" s="752" t="s">
        <v>488</v>
      </c>
      <c r="B10" s="522"/>
      <c r="C10" s="523"/>
    </row>
    <row r="11" spans="1:3" s="185" customFormat="1" ht="12.75">
      <c r="A11" s="753"/>
      <c r="B11" s="285" t="s">
        <v>433</v>
      </c>
      <c r="C11" s="524" t="s">
        <v>423</v>
      </c>
    </row>
    <row r="12" spans="1:3" ht="12.75">
      <c r="A12" s="754"/>
      <c r="B12" s="286"/>
      <c r="C12" s="525"/>
    </row>
    <row r="13" spans="1:3" ht="13.5" thickBot="1">
      <c r="A13" s="527">
        <v>1</v>
      </c>
      <c r="B13" s="528">
        <v>2</v>
      </c>
      <c r="C13" s="529">
        <v>3</v>
      </c>
    </row>
    <row r="14" spans="1:3" s="289" customFormat="1" ht="18" customHeight="1">
      <c r="A14" s="755">
        <v>1</v>
      </c>
      <c r="B14" s="291" t="s">
        <v>104</v>
      </c>
      <c r="C14" s="757">
        <v>73000</v>
      </c>
    </row>
    <row r="15" spans="1:3" s="289" customFormat="1" ht="18" customHeight="1">
      <c r="A15" s="756"/>
      <c r="B15" s="290" t="s">
        <v>105</v>
      </c>
      <c r="C15" s="758"/>
    </row>
    <row r="16" spans="1:3" s="289" customFormat="1" ht="18" customHeight="1">
      <c r="A16" s="759">
        <f>SUM(A14+1)</f>
        <v>2</v>
      </c>
      <c r="B16" s="291" t="s">
        <v>106</v>
      </c>
      <c r="C16" s="760">
        <f>139800+4000</f>
        <v>143800</v>
      </c>
    </row>
    <row r="17" spans="1:3" s="289" customFormat="1" ht="18" customHeight="1">
      <c r="A17" s="756"/>
      <c r="B17" s="291" t="s">
        <v>107</v>
      </c>
      <c r="C17" s="758"/>
    </row>
    <row r="18" spans="1:3" s="289" customFormat="1" ht="18" customHeight="1">
      <c r="A18" s="759">
        <f>SUM(A16+1)</f>
        <v>3</v>
      </c>
      <c r="B18" s="288" t="s">
        <v>108</v>
      </c>
      <c r="C18" s="760">
        <v>51500</v>
      </c>
    </row>
    <row r="19" spans="1:3" s="289" customFormat="1" ht="18" customHeight="1">
      <c r="A19" s="756"/>
      <c r="B19" s="291" t="s">
        <v>109</v>
      </c>
      <c r="C19" s="758"/>
    </row>
    <row r="20" spans="1:3" s="289" customFormat="1" ht="18" customHeight="1">
      <c r="A20" s="759">
        <f>SUM(A18+1)</f>
        <v>4</v>
      </c>
      <c r="B20" s="288" t="s">
        <v>110</v>
      </c>
      <c r="C20" s="760">
        <f>35600+29700</f>
        <v>65300</v>
      </c>
    </row>
    <row r="21" spans="1:3" s="289" customFormat="1" ht="18" customHeight="1">
      <c r="A21" s="756"/>
      <c r="B21" s="247" t="s">
        <v>111</v>
      </c>
      <c r="C21" s="763"/>
    </row>
    <row r="22" spans="1:3" s="289" customFormat="1" ht="18" customHeight="1">
      <c r="A22" s="759">
        <v>5</v>
      </c>
      <c r="B22" s="291" t="s">
        <v>112</v>
      </c>
      <c r="C22" s="760">
        <v>48800</v>
      </c>
    </row>
    <row r="23" spans="1:3" s="1" customFormat="1" ht="18" customHeight="1">
      <c r="A23" s="753"/>
      <c r="B23" s="292" t="s">
        <v>113</v>
      </c>
      <c r="C23" s="764"/>
    </row>
    <row r="24" spans="1:3" s="1" customFormat="1" ht="16.5" customHeight="1">
      <c r="A24" s="754"/>
      <c r="B24" s="290" t="s">
        <v>114</v>
      </c>
      <c r="C24" s="765"/>
    </row>
    <row r="25" spans="1:3" s="1" customFormat="1" ht="25.5" customHeight="1" thickBot="1">
      <c r="A25" s="761" t="s">
        <v>115</v>
      </c>
      <c r="B25" s="762"/>
      <c r="C25" s="526">
        <f>SUM(C14:C24)</f>
        <v>382400</v>
      </c>
    </row>
  </sheetData>
  <mergeCells count="15">
    <mergeCell ref="A18:A19"/>
    <mergeCell ref="C18:C19"/>
    <mergeCell ref="A25:B25"/>
    <mergeCell ref="A20:A21"/>
    <mergeCell ref="C20:C21"/>
    <mergeCell ref="A22:A24"/>
    <mergeCell ref="C22:C24"/>
    <mergeCell ref="A14:A15"/>
    <mergeCell ref="C14:C15"/>
    <mergeCell ref="A16:A17"/>
    <mergeCell ref="C16:C17"/>
    <mergeCell ref="B4:C4"/>
    <mergeCell ref="B6:C6"/>
    <mergeCell ref="B7:C7"/>
    <mergeCell ref="A10:A12"/>
  </mergeCells>
  <printOptions/>
  <pageMargins left="1.86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3"/>
  <dimension ref="A1:J39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ht="19.5" customHeight="1">
      <c r="A1" s="766" t="s">
        <v>449</v>
      </c>
      <c r="B1" s="766"/>
      <c r="C1" s="766"/>
      <c r="D1" s="8"/>
      <c r="E1" s="8"/>
      <c r="F1" s="8"/>
      <c r="G1" s="8"/>
      <c r="H1" s="8"/>
      <c r="I1" s="8"/>
      <c r="J1" s="8"/>
    </row>
    <row r="2" spans="1:7" ht="19.5" customHeight="1">
      <c r="A2" s="766" t="s">
        <v>117</v>
      </c>
      <c r="B2" s="766"/>
      <c r="C2" s="766"/>
      <c r="D2" s="8"/>
      <c r="E2" s="8"/>
      <c r="F2" s="8"/>
      <c r="G2" s="8"/>
    </row>
    <row r="3" ht="13.5" thickBot="1">
      <c r="C3" s="37" t="s">
        <v>481</v>
      </c>
    </row>
    <row r="4" spans="1:10" s="154" customFormat="1" ht="19.5" customHeight="1" thickBot="1">
      <c r="A4" s="151" t="s">
        <v>425</v>
      </c>
      <c r="B4" s="151" t="s">
        <v>418</v>
      </c>
      <c r="C4" s="151" t="s">
        <v>387</v>
      </c>
      <c r="D4" s="152"/>
      <c r="E4" s="152"/>
      <c r="F4" s="152"/>
      <c r="G4" s="152"/>
      <c r="H4" s="152"/>
      <c r="I4" s="153"/>
      <c r="J4" s="153"/>
    </row>
    <row r="5" spans="1:10" ht="19.5" customHeight="1" thickBot="1">
      <c r="A5" s="15" t="s">
        <v>427</v>
      </c>
      <c r="B5" s="16" t="s">
        <v>451</v>
      </c>
      <c r="C5" s="49">
        <f>SUM(C6:C8)</f>
        <v>40000</v>
      </c>
      <c r="D5" s="9"/>
      <c r="E5" s="9"/>
      <c r="F5" s="9"/>
      <c r="G5" s="9"/>
      <c r="H5" s="9"/>
      <c r="I5" s="10"/>
      <c r="J5" s="10"/>
    </row>
    <row r="6" spans="1:10" ht="19.5" customHeight="1">
      <c r="A6" s="11" t="s">
        <v>428</v>
      </c>
      <c r="B6" s="12" t="s">
        <v>455</v>
      </c>
      <c r="C6" s="50">
        <v>40000</v>
      </c>
      <c r="D6" s="9"/>
      <c r="E6" s="9"/>
      <c r="F6" s="9"/>
      <c r="G6" s="9"/>
      <c r="H6" s="9"/>
      <c r="I6" s="10"/>
      <c r="J6" s="10"/>
    </row>
    <row r="7" spans="1:10" ht="19.5" customHeight="1">
      <c r="A7" s="17" t="s">
        <v>429</v>
      </c>
      <c r="B7" s="18" t="s">
        <v>454</v>
      </c>
      <c r="C7" s="51">
        <v>0</v>
      </c>
      <c r="D7" s="9"/>
      <c r="E7" s="9"/>
      <c r="F7" s="9"/>
      <c r="G7" s="9"/>
      <c r="H7" s="9"/>
      <c r="I7" s="10"/>
      <c r="J7" s="10"/>
    </row>
    <row r="8" spans="1:10" ht="19.5" customHeight="1">
      <c r="A8" s="17" t="s">
        <v>430</v>
      </c>
      <c r="B8" s="18" t="s">
        <v>453</v>
      </c>
      <c r="C8" s="51">
        <v>0</v>
      </c>
      <c r="D8" s="9"/>
      <c r="E8" s="9"/>
      <c r="F8" s="9"/>
      <c r="G8" s="9"/>
      <c r="H8" s="9"/>
      <c r="I8" s="10"/>
      <c r="J8" s="10"/>
    </row>
    <row r="9" spans="1:10" ht="19.5" customHeight="1" thickBot="1">
      <c r="A9" s="17" t="s">
        <v>419</v>
      </c>
      <c r="B9" s="18" t="s">
        <v>296</v>
      </c>
      <c r="C9" s="50">
        <v>0</v>
      </c>
      <c r="D9" s="9"/>
      <c r="E9" s="9"/>
      <c r="F9" s="9"/>
      <c r="G9" s="9"/>
      <c r="H9" s="9"/>
      <c r="I9" s="10"/>
      <c r="J9" s="10"/>
    </row>
    <row r="10" spans="1:10" ht="19.5" customHeight="1" thickBot="1">
      <c r="A10" s="15" t="s">
        <v>431</v>
      </c>
      <c r="B10" s="16" t="s">
        <v>426</v>
      </c>
      <c r="C10" s="49">
        <f>SUM(C11:C13)</f>
        <v>123000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" t="s">
        <v>428</v>
      </c>
      <c r="B11" s="19" t="s">
        <v>483</v>
      </c>
      <c r="C11" s="51">
        <v>120000</v>
      </c>
      <c r="D11" s="9"/>
      <c r="E11" s="9"/>
      <c r="F11" s="9"/>
      <c r="G11" s="9"/>
      <c r="H11" s="9"/>
      <c r="I11" s="10"/>
      <c r="J11" s="10"/>
    </row>
    <row r="12" spans="1:10" ht="19.5" customHeight="1" thickBot="1">
      <c r="A12" s="17" t="s">
        <v>429</v>
      </c>
      <c r="B12" s="19" t="s">
        <v>138</v>
      </c>
      <c r="C12" s="51">
        <v>3000</v>
      </c>
      <c r="D12" s="9"/>
      <c r="E12" s="9"/>
      <c r="F12" s="9"/>
      <c r="G12" s="9"/>
      <c r="H12" s="9"/>
      <c r="I12" s="10"/>
      <c r="J12" s="10"/>
    </row>
    <row r="13" spans="1:10" ht="0.75" customHeight="1" hidden="1">
      <c r="A13" s="47"/>
      <c r="B13" s="48"/>
      <c r="C13" s="52"/>
      <c r="D13" s="9"/>
      <c r="E13" s="9"/>
      <c r="F13" s="9"/>
      <c r="G13" s="9"/>
      <c r="H13" s="9"/>
      <c r="I13" s="10"/>
      <c r="J13" s="10"/>
    </row>
    <row r="14" spans="1:10" ht="19.5" customHeight="1" thickBot="1">
      <c r="A14" s="15" t="s">
        <v>491</v>
      </c>
      <c r="B14" s="36" t="s">
        <v>492</v>
      </c>
      <c r="C14" s="49">
        <f>C5+C10</f>
        <v>163000</v>
      </c>
      <c r="D14" s="9"/>
      <c r="E14" s="9"/>
      <c r="F14" s="9"/>
      <c r="G14" s="9"/>
      <c r="H14" s="9"/>
      <c r="I14" s="10"/>
      <c r="J14" s="10"/>
    </row>
    <row r="15" spans="1:10" ht="19.5" customHeight="1" thickBot="1">
      <c r="A15" s="168" t="s">
        <v>432</v>
      </c>
      <c r="B15" s="16" t="s">
        <v>424</v>
      </c>
      <c r="C15" s="49">
        <f>C16+C21</f>
        <v>160000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69" t="s">
        <v>428</v>
      </c>
      <c r="B16" s="164" t="s">
        <v>726</v>
      </c>
      <c r="C16" s="165">
        <f>SUM(C17:C20)</f>
        <v>144000</v>
      </c>
      <c r="D16" s="9"/>
      <c r="E16" s="9"/>
      <c r="F16" s="9"/>
      <c r="G16" s="9"/>
      <c r="H16" s="9"/>
      <c r="I16" s="10"/>
      <c r="J16" s="10"/>
    </row>
    <row r="17" spans="1:10" ht="47.25" customHeight="1">
      <c r="A17" s="157"/>
      <c r="B17" s="162" t="s">
        <v>493</v>
      </c>
      <c r="C17" s="54">
        <v>41000</v>
      </c>
      <c r="D17" s="9"/>
      <c r="E17" s="9"/>
      <c r="F17" s="9"/>
      <c r="G17" s="9"/>
      <c r="H17" s="9"/>
      <c r="I17" s="10"/>
      <c r="J17" s="10"/>
    </row>
    <row r="18" spans="1:10" ht="49.5" customHeight="1">
      <c r="A18" s="157"/>
      <c r="B18" s="162" t="s">
        <v>496</v>
      </c>
      <c r="C18" s="54">
        <v>10000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57"/>
      <c r="B19" s="163" t="s">
        <v>497</v>
      </c>
      <c r="C19" s="54">
        <v>41000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57"/>
      <c r="B20" s="163" t="s">
        <v>417</v>
      </c>
      <c r="C20" s="54">
        <v>52000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60" t="s">
        <v>429</v>
      </c>
      <c r="B21" s="161" t="s">
        <v>727</v>
      </c>
      <c r="C21" s="166">
        <f>SUM(C22:C24)</f>
        <v>16000</v>
      </c>
      <c r="D21" s="9"/>
      <c r="E21" s="9"/>
      <c r="F21" s="9"/>
      <c r="G21" s="9"/>
      <c r="H21" s="9"/>
      <c r="I21" s="10"/>
      <c r="J21" s="10"/>
    </row>
    <row r="22" spans="1:10" ht="30">
      <c r="A22" s="157"/>
      <c r="B22" s="162" t="s">
        <v>494</v>
      </c>
      <c r="C22" s="54">
        <v>4000</v>
      </c>
      <c r="D22" s="9"/>
      <c r="E22" s="9"/>
      <c r="F22" s="9"/>
      <c r="G22" s="9"/>
      <c r="H22" s="9"/>
      <c r="I22" s="10"/>
      <c r="J22" s="10"/>
    </row>
    <row r="23" spans="1:10" ht="52.5" customHeight="1">
      <c r="A23" s="157"/>
      <c r="B23" s="162" t="s">
        <v>495</v>
      </c>
      <c r="C23" s="54">
        <v>10000</v>
      </c>
      <c r="D23" s="9"/>
      <c r="E23" s="9"/>
      <c r="F23" s="9"/>
      <c r="G23" s="9"/>
      <c r="H23" s="9"/>
      <c r="I23" s="10"/>
      <c r="J23" s="10"/>
    </row>
    <row r="24" spans="1:10" ht="64.5" customHeight="1" thickBot="1">
      <c r="A24" s="158"/>
      <c r="B24" s="167" t="s">
        <v>498</v>
      </c>
      <c r="C24" s="159">
        <v>2000</v>
      </c>
      <c r="D24" s="9"/>
      <c r="E24" s="9"/>
      <c r="F24" s="9"/>
      <c r="G24" s="9"/>
      <c r="H24" s="9"/>
      <c r="I24" s="10"/>
      <c r="J24" s="10"/>
    </row>
    <row r="25" spans="1:10" ht="19.5" customHeight="1" thickBot="1">
      <c r="A25" s="534" t="s">
        <v>450</v>
      </c>
      <c r="B25" s="535" t="s">
        <v>452</v>
      </c>
      <c r="C25" s="536">
        <f>C14-C15</f>
        <v>3000</v>
      </c>
      <c r="D25" s="9"/>
      <c r="E25" s="9"/>
      <c r="F25" s="9"/>
      <c r="G25" s="9"/>
      <c r="H25" s="9"/>
      <c r="I25" s="10"/>
      <c r="J25" s="10"/>
    </row>
    <row r="26" spans="1:10" ht="19.5" customHeight="1">
      <c r="A26" s="541" t="s">
        <v>428</v>
      </c>
      <c r="B26" s="539" t="s">
        <v>455</v>
      </c>
      <c r="C26" s="537">
        <v>3000</v>
      </c>
      <c r="D26" s="9"/>
      <c r="E26" s="9"/>
      <c r="F26" s="9"/>
      <c r="G26" s="9"/>
      <c r="H26" s="9"/>
      <c r="I26" s="10"/>
      <c r="J26" s="10"/>
    </row>
    <row r="27" spans="1:10" ht="19.5" customHeight="1">
      <c r="A27" s="17" t="s">
        <v>429</v>
      </c>
      <c r="B27" s="18" t="s">
        <v>454</v>
      </c>
      <c r="C27" s="51">
        <v>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7" t="s">
        <v>430</v>
      </c>
      <c r="B28" s="18" t="s">
        <v>453</v>
      </c>
      <c r="C28" s="51">
        <v>0</v>
      </c>
      <c r="D28" s="9"/>
      <c r="E28" s="9"/>
      <c r="F28" s="9"/>
      <c r="G28" s="9"/>
      <c r="H28" s="9"/>
      <c r="I28" s="10"/>
      <c r="J28" s="10"/>
    </row>
    <row r="29" spans="1:10" ht="15.75" thickBot="1">
      <c r="A29" s="542" t="s">
        <v>419</v>
      </c>
      <c r="B29" s="540" t="s">
        <v>296</v>
      </c>
      <c r="C29" s="538">
        <v>0</v>
      </c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13
do Uchwały Rady Powiatu nr XXXIV/284/2005
z dnia  29 grudnia 2005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C2" sqref="C2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16384" width="9.125" style="1" customWidth="1"/>
  </cols>
  <sheetData>
    <row r="1" ht="12.75">
      <c r="C1" s="178" t="s">
        <v>757</v>
      </c>
    </row>
    <row r="2" ht="14.25">
      <c r="C2" s="176" t="s">
        <v>764</v>
      </c>
    </row>
    <row r="3" ht="14.25">
      <c r="C3" s="176" t="s">
        <v>46</v>
      </c>
    </row>
    <row r="6" spans="1:10" ht="19.5" customHeight="1">
      <c r="A6" s="766" t="s">
        <v>449</v>
      </c>
      <c r="B6" s="766"/>
      <c r="C6" s="766"/>
      <c r="D6" s="8"/>
      <c r="E6" s="8"/>
      <c r="F6" s="8"/>
      <c r="G6" s="8"/>
      <c r="H6" s="8"/>
      <c r="I6" s="8"/>
      <c r="J6" s="8"/>
    </row>
    <row r="7" spans="1:7" ht="19.5" customHeight="1">
      <c r="A7" s="766" t="s">
        <v>411</v>
      </c>
      <c r="B7" s="766"/>
      <c r="C7" s="766"/>
      <c r="D7" s="8"/>
      <c r="E7" s="8"/>
      <c r="F7" s="8"/>
      <c r="G7" s="8"/>
    </row>
    <row r="9" ht="13.5" thickBot="1">
      <c r="C9" s="37" t="s">
        <v>481</v>
      </c>
    </row>
    <row r="10" spans="1:10" s="154" customFormat="1" ht="19.5" customHeight="1" thickBot="1">
      <c r="A10" s="151" t="s">
        <v>425</v>
      </c>
      <c r="B10" s="151" t="s">
        <v>418</v>
      </c>
      <c r="C10" s="151" t="s">
        <v>387</v>
      </c>
      <c r="D10" s="152"/>
      <c r="E10" s="152"/>
      <c r="F10" s="152"/>
      <c r="G10" s="152"/>
      <c r="H10" s="152"/>
      <c r="I10" s="153"/>
      <c r="J10" s="153"/>
    </row>
    <row r="11" spans="1:10" ht="19.5" customHeight="1" thickBot="1">
      <c r="A11" s="15" t="s">
        <v>427</v>
      </c>
      <c r="B11" s="16" t="s">
        <v>451</v>
      </c>
      <c r="C11" s="49">
        <f>SUM(C12:C13,-C14)</f>
        <v>126000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" t="s">
        <v>428</v>
      </c>
      <c r="B12" s="12" t="s">
        <v>455</v>
      </c>
      <c r="C12" s="50">
        <v>121000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7" t="s">
        <v>429</v>
      </c>
      <c r="B13" s="18" t="s">
        <v>454</v>
      </c>
      <c r="C13" s="51">
        <v>40000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7" t="s">
        <v>430</v>
      </c>
      <c r="B14" s="18" t="s">
        <v>453</v>
      </c>
      <c r="C14" s="51">
        <v>35000</v>
      </c>
      <c r="D14" s="9"/>
      <c r="E14" s="9"/>
      <c r="F14" s="9"/>
      <c r="G14" s="9"/>
      <c r="H14" s="9"/>
      <c r="I14" s="10"/>
      <c r="J14" s="10"/>
    </row>
    <row r="15" spans="1:10" ht="19.5" customHeight="1" thickBot="1">
      <c r="A15" s="17" t="s">
        <v>419</v>
      </c>
      <c r="B15" s="18" t="s">
        <v>296</v>
      </c>
      <c r="C15" s="50">
        <v>0</v>
      </c>
      <c r="D15" s="9"/>
      <c r="E15" s="9"/>
      <c r="F15" s="9"/>
      <c r="G15" s="9"/>
      <c r="H15" s="9"/>
      <c r="I15" s="10"/>
      <c r="J15" s="10"/>
    </row>
    <row r="16" spans="1:10" ht="19.5" customHeight="1" thickBot="1">
      <c r="A16" s="15" t="s">
        <v>431</v>
      </c>
      <c r="B16" s="16" t="s">
        <v>426</v>
      </c>
      <c r="C16" s="49">
        <f>SUM(C17:C21)</f>
        <v>340000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" t="s">
        <v>428</v>
      </c>
      <c r="B17" s="326" t="s">
        <v>413</v>
      </c>
      <c r="C17" s="51">
        <v>0</v>
      </c>
      <c r="D17" s="9"/>
      <c r="E17" s="9"/>
      <c r="F17" s="9"/>
      <c r="G17" s="9"/>
      <c r="H17" s="9"/>
      <c r="I17" s="10"/>
      <c r="J17" s="10"/>
    </row>
    <row r="18" spans="1:10" ht="28.5" customHeight="1">
      <c r="A18" s="11" t="s">
        <v>429</v>
      </c>
      <c r="B18" s="372" t="s">
        <v>148</v>
      </c>
      <c r="C18" s="51">
        <v>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" t="s">
        <v>430</v>
      </c>
      <c r="B19" s="326" t="s">
        <v>412</v>
      </c>
      <c r="C19" s="51">
        <v>332000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" t="s">
        <v>419</v>
      </c>
      <c r="B20" s="326" t="s">
        <v>138</v>
      </c>
      <c r="C20" s="51">
        <v>8000</v>
      </c>
      <c r="D20" s="9"/>
      <c r="E20" s="9"/>
      <c r="F20" s="9"/>
      <c r="G20" s="9"/>
      <c r="H20" s="9"/>
      <c r="I20" s="10"/>
      <c r="J20" s="10"/>
    </row>
    <row r="21" spans="1:10" ht="0.75" customHeight="1" thickBot="1">
      <c r="A21" s="47"/>
      <c r="B21" s="48"/>
      <c r="C21" s="52"/>
      <c r="D21" s="9"/>
      <c r="E21" s="9"/>
      <c r="F21" s="9"/>
      <c r="G21" s="9"/>
      <c r="H21" s="9"/>
      <c r="I21" s="10"/>
      <c r="J21" s="10"/>
    </row>
    <row r="22" spans="1:10" ht="19.5" customHeight="1" thickBot="1">
      <c r="A22" s="15" t="s">
        <v>491</v>
      </c>
      <c r="B22" s="36" t="s">
        <v>492</v>
      </c>
      <c r="C22" s="49">
        <f>C11+C16</f>
        <v>466000</v>
      </c>
      <c r="D22" s="9"/>
      <c r="E22" s="9"/>
      <c r="F22" s="9"/>
      <c r="G22" s="9"/>
      <c r="H22" s="9"/>
      <c r="I22" s="10"/>
      <c r="J22" s="10"/>
    </row>
    <row r="23" spans="1:10" ht="19.5" customHeight="1" thickBot="1">
      <c r="A23" s="168" t="s">
        <v>432</v>
      </c>
      <c r="B23" s="16" t="s">
        <v>424</v>
      </c>
      <c r="C23" s="49">
        <f>C24+C31</f>
        <v>386000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69" t="s">
        <v>428</v>
      </c>
      <c r="B24" s="164" t="s">
        <v>726</v>
      </c>
      <c r="C24" s="165">
        <f>SUM(C25:C30)</f>
        <v>316000</v>
      </c>
      <c r="D24" s="9"/>
      <c r="E24" s="9"/>
      <c r="F24" s="9"/>
      <c r="G24" s="9"/>
      <c r="H24" s="9"/>
      <c r="I24" s="10"/>
      <c r="J24" s="10"/>
    </row>
    <row r="25" spans="1:10" ht="15">
      <c r="A25" s="157"/>
      <c r="B25" s="162" t="s">
        <v>414</v>
      </c>
      <c r="C25" s="54">
        <v>34000</v>
      </c>
      <c r="D25" s="9"/>
      <c r="E25" s="9"/>
      <c r="F25" s="9"/>
      <c r="G25" s="9"/>
      <c r="H25" s="9"/>
      <c r="I25" s="10"/>
      <c r="J25" s="10"/>
    </row>
    <row r="26" spans="1:10" ht="15">
      <c r="A26" s="157"/>
      <c r="B26" s="162" t="s">
        <v>415</v>
      </c>
      <c r="C26" s="54">
        <v>34000</v>
      </c>
      <c r="D26" s="9"/>
      <c r="E26" s="9"/>
      <c r="F26" s="9"/>
      <c r="G26" s="9"/>
      <c r="H26" s="9"/>
      <c r="I26" s="10"/>
      <c r="J26" s="10"/>
    </row>
    <row r="27" spans="1:10" ht="19.5" customHeight="1">
      <c r="A27" s="157"/>
      <c r="B27" s="163" t="s">
        <v>497</v>
      </c>
      <c r="C27" s="54">
        <v>50000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57"/>
      <c r="B28" s="163" t="s">
        <v>149</v>
      </c>
      <c r="C28" s="54">
        <v>16000</v>
      </c>
      <c r="D28" s="9"/>
      <c r="E28" s="9"/>
      <c r="F28" s="9"/>
      <c r="G28" s="9"/>
      <c r="H28" s="9"/>
      <c r="I28" s="10"/>
      <c r="J28" s="10"/>
    </row>
    <row r="29" spans="1:10" ht="19.5" customHeight="1">
      <c r="A29" s="157"/>
      <c r="B29" s="163" t="s">
        <v>416</v>
      </c>
      <c r="C29" s="54">
        <v>115000</v>
      </c>
      <c r="D29" s="9"/>
      <c r="E29" s="9"/>
      <c r="F29" s="9"/>
      <c r="G29" s="9"/>
      <c r="H29" s="9"/>
      <c r="I29" s="10"/>
      <c r="J29" s="10"/>
    </row>
    <row r="30" spans="1:10" ht="19.5" customHeight="1">
      <c r="A30" s="157"/>
      <c r="B30" s="163" t="s">
        <v>417</v>
      </c>
      <c r="C30" s="54">
        <v>67000</v>
      </c>
      <c r="D30" s="9"/>
      <c r="E30" s="9"/>
      <c r="F30" s="9"/>
      <c r="G30" s="9"/>
      <c r="H30" s="9"/>
      <c r="I30" s="10"/>
      <c r="J30" s="10"/>
    </row>
    <row r="31" spans="1:10" ht="19.5" customHeight="1">
      <c r="A31" s="160" t="s">
        <v>429</v>
      </c>
      <c r="B31" s="161" t="s">
        <v>727</v>
      </c>
      <c r="C31" s="166">
        <f>SUM(C32:C32)</f>
        <v>70000</v>
      </c>
      <c r="D31" s="9"/>
      <c r="E31" s="9"/>
      <c r="F31" s="9"/>
      <c r="G31" s="9"/>
      <c r="H31" s="9"/>
      <c r="I31" s="10"/>
      <c r="J31" s="10"/>
    </row>
    <row r="32" spans="1:10" ht="30">
      <c r="A32" s="157"/>
      <c r="B32" s="162" t="s">
        <v>494</v>
      </c>
      <c r="C32" s="54">
        <v>70000</v>
      </c>
      <c r="D32" s="9"/>
      <c r="E32" s="9"/>
      <c r="F32" s="9"/>
      <c r="G32" s="9"/>
      <c r="H32" s="9"/>
      <c r="I32" s="10"/>
      <c r="J32" s="10"/>
    </row>
    <row r="33" spans="1:10" ht="19.5" customHeight="1" thickBot="1">
      <c r="A33" s="81" t="s">
        <v>450</v>
      </c>
      <c r="B33" s="155" t="s">
        <v>452</v>
      </c>
      <c r="C33" s="156">
        <f>C22-C23</f>
        <v>80000</v>
      </c>
      <c r="D33" s="9"/>
      <c r="E33" s="9"/>
      <c r="F33" s="9"/>
      <c r="G33" s="9"/>
      <c r="H33" s="9"/>
      <c r="I33" s="10"/>
      <c r="J33" s="10"/>
    </row>
    <row r="34" spans="1:10" ht="19.5" customHeight="1">
      <c r="A34" s="11" t="s">
        <v>428</v>
      </c>
      <c r="B34" s="12" t="s">
        <v>455</v>
      </c>
      <c r="C34" s="50">
        <f>50000+20000</f>
        <v>70000</v>
      </c>
      <c r="D34" s="9"/>
      <c r="E34" s="9"/>
      <c r="F34" s="9"/>
      <c r="G34" s="9"/>
      <c r="H34" s="9"/>
      <c r="I34" s="10"/>
      <c r="J34" s="10"/>
    </row>
    <row r="35" spans="1:10" ht="19.5" customHeight="1">
      <c r="A35" s="17" t="s">
        <v>429</v>
      </c>
      <c r="B35" s="18" t="s">
        <v>454</v>
      </c>
      <c r="C35" s="51">
        <v>40000</v>
      </c>
      <c r="D35" s="9"/>
      <c r="E35" s="9"/>
      <c r="F35" s="9"/>
      <c r="G35" s="9"/>
      <c r="H35" s="9"/>
      <c r="I35" s="10"/>
      <c r="J35" s="10"/>
    </row>
    <row r="36" spans="1:10" ht="19.5" customHeight="1" thickBot="1">
      <c r="A36" s="13" t="s">
        <v>430</v>
      </c>
      <c r="B36" s="14" t="s">
        <v>453</v>
      </c>
      <c r="C36" s="53">
        <v>30000</v>
      </c>
      <c r="D36" s="9"/>
      <c r="E36" s="9"/>
      <c r="F36" s="9"/>
      <c r="G36" s="9"/>
      <c r="H36" s="9"/>
      <c r="I36" s="10"/>
      <c r="J36" s="10"/>
    </row>
    <row r="37" spans="1:10" ht="15">
      <c r="A37" s="9"/>
      <c r="B37" s="9"/>
      <c r="C37" s="9"/>
      <c r="D37" s="9"/>
      <c r="E37" s="9"/>
      <c r="F37" s="9"/>
      <c r="G37" s="9"/>
      <c r="H37" s="9"/>
      <c r="I37" s="10"/>
      <c r="J37" s="10"/>
    </row>
    <row r="38" spans="1:10" ht="15">
      <c r="A38" s="9"/>
      <c r="B38" s="9"/>
      <c r="C38" s="327"/>
      <c r="D38" s="9"/>
      <c r="E38" s="9"/>
      <c r="F38" s="9"/>
      <c r="G38" s="9"/>
      <c r="H38" s="9"/>
      <c r="I38" s="10"/>
      <c r="J38" s="10"/>
    </row>
    <row r="39" spans="1:10" ht="15">
      <c r="A39" s="9"/>
      <c r="B39" s="9"/>
      <c r="C39" s="9"/>
      <c r="D39" s="9"/>
      <c r="E39" s="9"/>
      <c r="F39" s="9"/>
      <c r="G39" s="9"/>
      <c r="H39" s="9"/>
      <c r="I39" s="10"/>
      <c r="J39" s="10"/>
    </row>
    <row r="40" spans="1:10" ht="15">
      <c r="A40" s="9"/>
      <c r="B40" s="9"/>
      <c r="C40" s="9"/>
      <c r="D40" s="9"/>
      <c r="E40" s="9"/>
      <c r="F40" s="9"/>
      <c r="G40" s="9"/>
      <c r="H40" s="9"/>
      <c r="I40" s="10"/>
      <c r="J40" s="10"/>
    </row>
    <row r="41" spans="1:10" ht="15">
      <c r="A41" s="9"/>
      <c r="B41" s="9"/>
      <c r="C41" s="9"/>
      <c r="D41" s="9"/>
      <c r="E41" s="9"/>
      <c r="F41" s="9"/>
      <c r="G41" s="9"/>
      <c r="H41" s="9"/>
      <c r="I41" s="10"/>
      <c r="J41" s="10"/>
    </row>
    <row r="42" spans="1:10" ht="15">
      <c r="A42" s="9"/>
      <c r="B42" s="9"/>
      <c r="C42" s="9"/>
      <c r="D42" s="9"/>
      <c r="E42" s="9"/>
      <c r="F42" s="9"/>
      <c r="G42" s="9"/>
      <c r="H42" s="9"/>
      <c r="I42" s="10"/>
      <c r="J42" s="10"/>
    </row>
    <row r="43" spans="1:10" ht="15">
      <c r="A43" s="9"/>
      <c r="B43" s="9"/>
      <c r="C43" s="9"/>
      <c r="D43" s="9"/>
      <c r="E43" s="9"/>
      <c r="F43" s="9"/>
      <c r="G43" s="9"/>
      <c r="H43" s="9"/>
      <c r="I43" s="10"/>
      <c r="J43" s="10"/>
    </row>
    <row r="44" spans="1:10" ht="1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>
      <c r="A47" s="10"/>
      <c r="B47" s="10"/>
      <c r="C47" s="10"/>
      <c r="D47" s="10"/>
      <c r="E47" s="10"/>
      <c r="F47" s="10"/>
      <c r="G47" s="10"/>
      <c r="H47" s="10"/>
      <c r="I47" s="10"/>
      <c r="J47" s="10"/>
    </row>
  </sheetData>
  <mergeCells count="2">
    <mergeCell ref="A6:C6"/>
    <mergeCell ref="A7:C7"/>
  </mergeCells>
  <printOptions/>
  <pageMargins left="1.02" right="0.75" top="0.9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3" sqref="B3"/>
    </sheetView>
  </sheetViews>
  <sheetFormatPr defaultColWidth="9.00390625" defaultRowHeight="12.75"/>
  <cols>
    <col min="1" max="1" width="61.00390625" style="0" customWidth="1"/>
    <col min="2" max="2" width="20.75390625" style="0" customWidth="1"/>
  </cols>
  <sheetData>
    <row r="1" ht="12.75">
      <c r="B1" s="130" t="s">
        <v>210</v>
      </c>
    </row>
    <row r="2" ht="14.25">
      <c r="B2" s="176" t="s">
        <v>762</v>
      </c>
    </row>
    <row r="3" ht="14.25">
      <c r="B3" s="176" t="s">
        <v>46</v>
      </c>
    </row>
    <row r="4" ht="14.25">
      <c r="C4" s="176"/>
    </row>
    <row r="6" spans="1:2" ht="18">
      <c r="A6" s="57" t="s">
        <v>209</v>
      </c>
      <c r="B6" s="3"/>
    </row>
    <row r="7" spans="1:2" ht="10.5" customHeight="1">
      <c r="A7" s="57"/>
      <c r="B7" s="3"/>
    </row>
    <row r="8" ht="13.5" thickBot="1">
      <c r="B8" s="37" t="s">
        <v>481</v>
      </c>
    </row>
    <row r="9" spans="1:9" ht="15">
      <c r="A9" s="569"/>
      <c r="B9" s="570" t="s">
        <v>191</v>
      </c>
      <c r="C9" s="571"/>
      <c r="D9" s="571"/>
      <c r="E9" s="571"/>
      <c r="F9" s="571"/>
      <c r="G9" s="571"/>
      <c r="H9" s="571"/>
      <c r="I9" s="571"/>
    </row>
    <row r="10" spans="1:9" ht="15">
      <c r="A10" s="572" t="s">
        <v>418</v>
      </c>
      <c r="B10" s="572" t="s">
        <v>192</v>
      </c>
      <c r="C10" s="571"/>
      <c r="D10" s="571"/>
      <c r="E10" s="571"/>
      <c r="F10" s="571"/>
      <c r="G10" s="571"/>
      <c r="H10" s="571"/>
      <c r="I10" s="571"/>
    </row>
    <row r="11" spans="1:9" ht="15.75" thickBot="1">
      <c r="A11" s="572"/>
      <c r="B11" s="572"/>
      <c r="C11" s="571"/>
      <c r="D11" s="571"/>
      <c r="E11" s="571"/>
      <c r="F11" s="571"/>
      <c r="G11" s="571"/>
      <c r="H11" s="571"/>
      <c r="I11" s="571"/>
    </row>
    <row r="12" spans="1:2" ht="7.5" customHeight="1" thickBot="1">
      <c r="A12" s="596">
        <v>1</v>
      </c>
      <c r="B12" s="596">
        <v>3</v>
      </c>
    </row>
    <row r="13" spans="1:2" s="571" customFormat="1" ht="18" customHeight="1" thickBot="1">
      <c r="A13" s="599" t="s">
        <v>213</v>
      </c>
      <c r="B13" s="600">
        <v>6803381</v>
      </c>
    </row>
    <row r="14" spans="1:2" s="571" customFormat="1" ht="18" customHeight="1" thickBot="1">
      <c r="A14" s="599" t="s">
        <v>47</v>
      </c>
      <c r="B14" s="600">
        <v>283415</v>
      </c>
    </row>
    <row r="15" spans="1:2" s="571" customFormat="1" ht="18" customHeight="1">
      <c r="A15" s="597" t="s">
        <v>48</v>
      </c>
      <c r="B15" s="598">
        <f>SUM(B16:B17)</f>
        <v>547780</v>
      </c>
    </row>
    <row r="16" spans="1:2" s="571" customFormat="1" ht="18" customHeight="1">
      <c r="A16" s="576" t="s">
        <v>193</v>
      </c>
      <c r="B16" s="585">
        <v>436230</v>
      </c>
    </row>
    <row r="17" spans="1:2" s="571" customFormat="1" ht="18" customHeight="1" thickBot="1">
      <c r="A17" s="577" t="s">
        <v>194</v>
      </c>
      <c r="B17" s="586">
        <v>111550</v>
      </c>
    </row>
    <row r="18" spans="1:2" s="571" customFormat="1" ht="18" customHeight="1" thickBot="1">
      <c r="A18" s="574" t="s">
        <v>49</v>
      </c>
      <c r="B18" s="584">
        <v>1132966</v>
      </c>
    </row>
    <row r="19" spans="1:2" s="571" customFormat="1" ht="18" customHeight="1" thickBot="1">
      <c r="A19" s="578" t="s">
        <v>50</v>
      </c>
      <c r="B19" s="592">
        <v>2505396</v>
      </c>
    </row>
    <row r="20" spans="1:2" s="580" customFormat="1" ht="18" customHeight="1" thickBot="1">
      <c r="A20" s="583" t="s">
        <v>212</v>
      </c>
      <c r="B20" s="593">
        <f>SUM(B13,B14,B15,B18:B19)</f>
        <v>11272938</v>
      </c>
    </row>
    <row r="21" spans="1:2" s="571" customFormat="1" ht="18" customHeight="1" thickBot="1">
      <c r="A21" s="578" t="s">
        <v>195</v>
      </c>
      <c r="B21" s="592">
        <v>30823947</v>
      </c>
    </row>
    <row r="22" spans="1:2" s="571" customFormat="1" ht="18" customHeight="1" thickBot="1">
      <c r="A22" s="578" t="s">
        <v>196</v>
      </c>
      <c r="B22" s="592">
        <f>SUM(B23:B32)</f>
        <v>7118845</v>
      </c>
    </row>
    <row r="23" spans="1:2" s="571" customFormat="1" ht="14.25">
      <c r="A23" s="573" t="s">
        <v>197</v>
      </c>
      <c r="B23" s="584"/>
    </row>
    <row r="24" spans="1:2" s="571" customFormat="1" ht="14.25">
      <c r="A24" s="579" t="s">
        <v>214</v>
      </c>
      <c r="B24" s="587">
        <v>2788000</v>
      </c>
    </row>
    <row r="25" spans="1:2" s="571" customFormat="1" ht="14.25">
      <c r="A25" s="573" t="s">
        <v>198</v>
      </c>
      <c r="B25" s="584"/>
    </row>
    <row r="26" spans="1:2" s="571" customFormat="1" ht="14.25">
      <c r="A26" s="575" t="s">
        <v>199</v>
      </c>
      <c r="B26" s="584"/>
    </row>
    <row r="27" spans="1:2" s="571" customFormat="1" ht="14.25">
      <c r="A27" s="575" t="s">
        <v>200</v>
      </c>
      <c r="B27" s="584"/>
    </row>
    <row r="28" spans="1:2" s="571" customFormat="1" ht="14.25">
      <c r="A28" s="579" t="s">
        <v>201</v>
      </c>
      <c r="B28" s="587">
        <v>4086647</v>
      </c>
    </row>
    <row r="29" spans="1:2" s="571" customFormat="1" ht="14.25">
      <c r="A29" s="573" t="s">
        <v>202</v>
      </c>
      <c r="B29" s="584"/>
    </row>
    <row r="30" spans="1:2" s="571" customFormat="1" ht="14.25">
      <c r="A30" s="575" t="s">
        <v>203</v>
      </c>
      <c r="B30" s="584"/>
    </row>
    <row r="31" spans="1:2" s="571" customFormat="1" ht="14.25">
      <c r="A31" s="579" t="s">
        <v>204</v>
      </c>
      <c r="B31" s="587">
        <v>244198</v>
      </c>
    </row>
    <row r="32" spans="1:2" s="571" customFormat="1" ht="15" thickBot="1">
      <c r="A32" s="573" t="s">
        <v>205</v>
      </c>
      <c r="B32" s="584">
        <v>0</v>
      </c>
    </row>
    <row r="33" spans="1:2" s="580" customFormat="1" ht="26.25" customHeight="1" thickBot="1">
      <c r="A33" s="581" t="s">
        <v>211</v>
      </c>
      <c r="B33" s="594">
        <f>SUM(B21:B22)</f>
        <v>37942792</v>
      </c>
    </row>
    <row r="34" spans="1:2" s="580" customFormat="1" ht="15">
      <c r="A34" s="581" t="s">
        <v>206</v>
      </c>
      <c r="B34" s="588"/>
    </row>
    <row r="35" spans="1:2" s="580" customFormat="1" ht="16.5" thickBot="1">
      <c r="A35" s="582" t="s">
        <v>207</v>
      </c>
      <c r="B35" s="593">
        <f>1230490+3266998+444220</f>
        <v>4941708</v>
      </c>
    </row>
    <row r="36" spans="1:2" s="580" customFormat="1" ht="23.25" customHeight="1" thickBot="1">
      <c r="A36" s="16" t="s">
        <v>208</v>
      </c>
      <c r="B36" s="595">
        <f>SUM(B20,B33,B35)</f>
        <v>54157438</v>
      </c>
    </row>
  </sheetData>
  <printOptions/>
  <pageMargins left="1.29" right="0.5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F3" sqref="F3"/>
    </sheetView>
  </sheetViews>
  <sheetFormatPr defaultColWidth="9.00390625" defaultRowHeight="12.75"/>
  <cols>
    <col min="1" max="1" width="4.25390625" style="107" customWidth="1"/>
    <col min="2" max="2" width="7.25390625" style="107" customWidth="1"/>
    <col min="3" max="3" width="36.125" style="109" customWidth="1"/>
    <col min="4" max="5" width="12.875" style="108" customWidth="1"/>
    <col min="6" max="6" width="15.75390625" style="108" customWidth="1"/>
    <col min="7" max="16384" width="9.125" style="70" customWidth="1"/>
  </cols>
  <sheetData>
    <row r="1" spans="3:6" ht="15.75">
      <c r="C1" s="385"/>
      <c r="D1" s="130"/>
      <c r="E1" s="130"/>
      <c r="F1" s="130" t="s">
        <v>293</v>
      </c>
    </row>
    <row r="2" spans="3:6" ht="15">
      <c r="C2" s="55"/>
      <c r="D2" s="176"/>
      <c r="E2" s="770"/>
      <c r="F2" s="176" t="s">
        <v>763</v>
      </c>
    </row>
    <row r="3" spans="3:6" ht="15.75" customHeight="1">
      <c r="C3" s="55"/>
      <c r="D3" s="176"/>
      <c r="E3" s="770"/>
      <c r="F3" s="176" t="s">
        <v>46</v>
      </c>
    </row>
    <row r="4" ht="17.25" customHeight="1"/>
    <row r="5" spans="1:6" s="110" customFormat="1" ht="19.5" customHeight="1">
      <c r="A5" s="397" t="s">
        <v>332</v>
      </c>
      <c r="B5" s="396"/>
      <c r="C5" s="396"/>
      <c r="D5" s="396"/>
      <c r="E5" s="396"/>
      <c r="F5" s="396"/>
    </row>
    <row r="6" spans="3:6" ht="11.25" customHeight="1">
      <c r="C6" s="111"/>
      <c r="D6" s="112"/>
      <c r="E6" s="112"/>
      <c r="F6" s="112"/>
    </row>
    <row r="7" ht="7.5" customHeight="1"/>
    <row r="8" spans="1:6" s="74" customFormat="1" ht="14.25" customHeight="1">
      <c r="A8" s="659" t="s">
        <v>420</v>
      </c>
      <c r="B8" s="659" t="s">
        <v>421</v>
      </c>
      <c r="C8" s="661" t="s">
        <v>422</v>
      </c>
      <c r="D8" s="629" t="s">
        <v>175</v>
      </c>
      <c r="E8" s="656" t="s">
        <v>378</v>
      </c>
      <c r="F8" s="657"/>
    </row>
    <row r="9" spans="1:6" s="59" customFormat="1" ht="37.5" customHeight="1">
      <c r="A9" s="660"/>
      <c r="B9" s="660"/>
      <c r="C9" s="662"/>
      <c r="D9" s="630"/>
      <c r="E9" s="398"/>
      <c r="F9" s="113" t="s">
        <v>379</v>
      </c>
    </row>
    <row r="10" spans="1:6" s="116" customFormat="1" ht="15" customHeight="1">
      <c r="A10" s="114">
        <v>1</v>
      </c>
      <c r="B10" s="114">
        <v>2</v>
      </c>
      <c r="C10" s="115">
        <v>3</v>
      </c>
      <c r="D10" s="115">
        <v>4</v>
      </c>
      <c r="E10" s="115">
        <v>5</v>
      </c>
      <c r="F10" s="344">
        <v>6</v>
      </c>
    </row>
    <row r="11" spans="1:6" s="119" customFormat="1" ht="18.75" customHeight="1">
      <c r="A11" s="122" t="s">
        <v>520</v>
      </c>
      <c r="B11" s="122"/>
      <c r="C11" s="117" t="s">
        <v>521</v>
      </c>
      <c r="D11" s="118">
        <f aca="true" t="shared" si="0" ref="D11:F12">SUM(D12)</f>
        <v>30000</v>
      </c>
      <c r="E11" s="118">
        <f t="shared" si="0"/>
        <v>40000</v>
      </c>
      <c r="F11" s="118">
        <f t="shared" si="0"/>
        <v>0</v>
      </c>
    </row>
    <row r="12" spans="1:6" s="119" customFormat="1" ht="24">
      <c r="A12" s="122"/>
      <c r="B12" s="122" t="s">
        <v>522</v>
      </c>
      <c r="C12" s="374" t="s">
        <v>650</v>
      </c>
      <c r="D12" s="118">
        <f t="shared" si="0"/>
        <v>30000</v>
      </c>
      <c r="E12" s="118">
        <f t="shared" si="0"/>
        <v>40000</v>
      </c>
      <c r="F12" s="118">
        <f t="shared" si="0"/>
        <v>0</v>
      </c>
    </row>
    <row r="13" spans="1:6" s="119" customFormat="1" ht="15">
      <c r="A13" s="122"/>
      <c r="B13" s="122"/>
      <c r="C13" s="123" t="s">
        <v>655</v>
      </c>
      <c r="D13" s="120">
        <v>30000</v>
      </c>
      <c r="E13" s="120">
        <v>40000</v>
      </c>
      <c r="F13" s="386"/>
    </row>
    <row r="14" spans="1:6" s="119" customFormat="1" ht="15">
      <c r="A14" s="122"/>
      <c r="B14" s="122"/>
      <c r="C14" s="123" t="s">
        <v>652</v>
      </c>
      <c r="D14" s="120">
        <v>908</v>
      </c>
      <c r="E14" s="120">
        <v>3575</v>
      </c>
      <c r="F14" s="386"/>
    </row>
    <row r="15" spans="1:6" s="119" customFormat="1" ht="13.5" customHeight="1">
      <c r="A15" s="122" t="s">
        <v>526</v>
      </c>
      <c r="B15" s="122"/>
      <c r="C15" s="117" t="s">
        <v>527</v>
      </c>
      <c r="D15" s="118">
        <f>SUM(D16,D18)</f>
        <v>531800</v>
      </c>
      <c r="E15" s="118">
        <f>SUM(E16,E18)</f>
        <v>480810</v>
      </c>
      <c r="F15" s="118">
        <f>SUM(F16,F18)</f>
        <v>0</v>
      </c>
    </row>
    <row r="16" spans="1:6" s="119" customFormat="1" ht="15" customHeight="1">
      <c r="A16" s="122"/>
      <c r="B16" s="122" t="s">
        <v>528</v>
      </c>
      <c r="C16" s="374" t="s">
        <v>529</v>
      </c>
      <c r="D16" s="118">
        <f>SUM(D17)</f>
        <v>501800</v>
      </c>
      <c r="E16" s="118">
        <f>SUM(E17)</f>
        <v>452220</v>
      </c>
      <c r="F16" s="118">
        <f>SUM(F17)</f>
        <v>0</v>
      </c>
    </row>
    <row r="17" spans="1:6" s="119" customFormat="1" ht="17.25" customHeight="1">
      <c r="A17" s="122"/>
      <c r="B17" s="122"/>
      <c r="C17" s="123" t="s">
        <v>651</v>
      </c>
      <c r="D17" s="120">
        <v>501800</v>
      </c>
      <c r="E17" s="120">
        <v>452220</v>
      </c>
      <c r="F17" s="120"/>
    </row>
    <row r="18" spans="1:6" s="119" customFormat="1" ht="17.25" customHeight="1">
      <c r="A18" s="122"/>
      <c r="B18" s="122" t="s">
        <v>653</v>
      </c>
      <c r="C18" s="374" t="s">
        <v>654</v>
      </c>
      <c r="D18" s="118">
        <f>SUM(D19)</f>
        <v>30000</v>
      </c>
      <c r="E18" s="118">
        <f>SUM(E19)</f>
        <v>28590</v>
      </c>
      <c r="F18" s="118">
        <f>SUM(F19)</f>
        <v>0</v>
      </c>
    </row>
    <row r="19" spans="1:6" s="119" customFormat="1" ht="15.75" customHeight="1">
      <c r="A19" s="122"/>
      <c r="B19" s="122"/>
      <c r="C19" s="123" t="s">
        <v>651</v>
      </c>
      <c r="D19" s="362">
        <v>30000</v>
      </c>
      <c r="E19" s="120">
        <v>28590</v>
      </c>
      <c r="F19" s="120"/>
    </row>
    <row r="20" spans="1:6" s="119" customFormat="1" ht="15.75" customHeight="1">
      <c r="A20" s="122" t="s">
        <v>532</v>
      </c>
      <c r="B20" s="122"/>
      <c r="C20" s="117" t="s">
        <v>533</v>
      </c>
      <c r="D20" s="118">
        <f>SUM(D21,D28)</f>
        <v>5725608</v>
      </c>
      <c r="E20" s="118">
        <f>SUM(E21,E28)</f>
        <v>10146259</v>
      </c>
      <c r="F20" s="118">
        <f>SUM(F21)</f>
        <v>0</v>
      </c>
    </row>
    <row r="21" spans="1:6" s="119" customFormat="1" ht="15" customHeight="1">
      <c r="A21" s="122"/>
      <c r="B21" s="122" t="s">
        <v>534</v>
      </c>
      <c r="C21" s="374" t="s">
        <v>535</v>
      </c>
      <c r="D21" s="118">
        <f>SUM(D22,D25)</f>
        <v>5725608</v>
      </c>
      <c r="E21" s="118">
        <f>SUM(E22,E25)</f>
        <v>9588759</v>
      </c>
      <c r="F21" s="118">
        <f>SUM(F22,F25)</f>
        <v>0</v>
      </c>
    </row>
    <row r="22" spans="1:6" s="119" customFormat="1" ht="12.75" customHeight="1">
      <c r="A22" s="122"/>
      <c r="B22" s="122"/>
      <c r="C22" s="123" t="s">
        <v>655</v>
      </c>
      <c r="D22" s="120">
        <v>5052009</v>
      </c>
      <c r="E22" s="120">
        <v>5162260</v>
      </c>
      <c r="F22" s="120"/>
    </row>
    <row r="23" spans="1:6" s="119" customFormat="1" ht="15.75" customHeight="1">
      <c r="A23" s="122"/>
      <c r="B23" s="122"/>
      <c r="C23" s="123" t="s">
        <v>656</v>
      </c>
      <c r="D23" s="120">
        <v>689087</v>
      </c>
      <c r="E23" s="120">
        <v>791279</v>
      </c>
      <c r="F23" s="120"/>
    </row>
    <row r="24" spans="1:6" s="119" customFormat="1" ht="12.75" customHeight="1">
      <c r="A24" s="122"/>
      <c r="B24" s="122"/>
      <c r="C24" s="123" t="s">
        <v>657</v>
      </c>
      <c r="D24" s="120">
        <v>364985</v>
      </c>
      <c r="E24" s="120">
        <v>423632</v>
      </c>
      <c r="F24" s="120"/>
    </row>
    <row r="25" spans="1:6" s="119" customFormat="1" ht="12.75" customHeight="1">
      <c r="A25" s="122"/>
      <c r="B25" s="122"/>
      <c r="C25" s="123" t="s">
        <v>322</v>
      </c>
      <c r="D25" s="120">
        <v>673599</v>
      </c>
      <c r="E25" s="120">
        <v>4426499</v>
      </c>
      <c r="F25" s="120"/>
    </row>
    <row r="26" spans="1:6" s="119" customFormat="1" ht="12.75" customHeight="1">
      <c r="A26" s="122"/>
      <c r="B26" s="122"/>
      <c r="C26" s="123" t="s">
        <v>323</v>
      </c>
      <c r="D26" s="120">
        <v>673599</v>
      </c>
      <c r="E26" s="120">
        <v>4236499</v>
      </c>
      <c r="F26" s="120"/>
    </row>
    <row r="27" spans="1:6" s="119" customFormat="1" ht="12.75" customHeight="1">
      <c r="A27" s="122"/>
      <c r="B27" s="122"/>
      <c r="C27" s="123" t="s">
        <v>324</v>
      </c>
      <c r="D27" s="120">
        <v>0</v>
      </c>
      <c r="E27" s="120">
        <v>190000</v>
      </c>
      <c r="F27" s="120"/>
    </row>
    <row r="28" spans="1:6" s="119" customFormat="1" ht="15" customHeight="1">
      <c r="A28" s="122"/>
      <c r="B28" s="122" t="s">
        <v>157</v>
      </c>
      <c r="C28" s="343" t="s">
        <v>189</v>
      </c>
      <c r="D28" s="118">
        <f>SUM(D29)</f>
        <v>0</v>
      </c>
      <c r="E28" s="118">
        <f>SUM(E29)</f>
        <v>557500</v>
      </c>
      <c r="F28" s="118">
        <f>SUM(F29,F32)</f>
        <v>0</v>
      </c>
    </row>
    <row r="29" spans="1:6" s="119" customFormat="1" ht="12.75" customHeight="1">
      <c r="A29" s="122"/>
      <c r="B29" s="122"/>
      <c r="C29" s="123" t="s">
        <v>658</v>
      </c>
      <c r="D29" s="120">
        <v>0</v>
      </c>
      <c r="E29" s="120">
        <v>557500</v>
      </c>
      <c r="F29" s="120"/>
    </row>
    <row r="30" spans="1:6" s="119" customFormat="1" ht="17.25" customHeight="1">
      <c r="A30" s="122" t="s">
        <v>540</v>
      </c>
      <c r="B30" s="122"/>
      <c r="C30" s="343" t="s">
        <v>541</v>
      </c>
      <c r="D30" s="118">
        <f aca="true" t="shared" si="1" ref="D30:F31">SUM(D31)</f>
        <v>141764</v>
      </c>
      <c r="E30" s="118">
        <f t="shared" si="1"/>
        <v>105000</v>
      </c>
      <c r="F30" s="118">
        <f t="shared" si="1"/>
        <v>0</v>
      </c>
    </row>
    <row r="31" spans="1:6" s="119" customFormat="1" ht="15" customHeight="1">
      <c r="A31" s="122"/>
      <c r="B31" s="122" t="s">
        <v>542</v>
      </c>
      <c r="C31" s="374" t="s">
        <v>543</v>
      </c>
      <c r="D31" s="118">
        <f t="shared" si="1"/>
        <v>141764</v>
      </c>
      <c r="E31" s="118">
        <f t="shared" si="1"/>
        <v>105000</v>
      </c>
      <c r="F31" s="118">
        <f t="shared" si="1"/>
        <v>0</v>
      </c>
    </row>
    <row r="32" spans="1:6" s="119" customFormat="1" ht="16.5" customHeight="1">
      <c r="A32" s="122"/>
      <c r="B32" s="122"/>
      <c r="C32" s="123" t="s">
        <v>651</v>
      </c>
      <c r="D32" s="120">
        <v>141764</v>
      </c>
      <c r="E32" s="120">
        <v>105000</v>
      </c>
      <c r="F32" s="120"/>
    </row>
    <row r="33" spans="1:6" s="119" customFormat="1" ht="17.25" customHeight="1">
      <c r="A33" s="122" t="s">
        <v>548</v>
      </c>
      <c r="B33" s="122"/>
      <c r="C33" s="117" t="s">
        <v>549</v>
      </c>
      <c r="D33" s="118">
        <f>SUM(D34,D36,D38,D42)</f>
        <v>262768</v>
      </c>
      <c r="E33" s="118">
        <f>SUM(E34,E36,E38,E42)</f>
        <v>267105</v>
      </c>
      <c r="F33" s="118">
        <f>SUM(F34,F36,F38,F42)</f>
        <v>0</v>
      </c>
    </row>
    <row r="34" spans="1:6" s="119" customFormat="1" ht="16.5" customHeight="1">
      <c r="A34" s="122"/>
      <c r="B34" s="122" t="s">
        <v>550</v>
      </c>
      <c r="C34" s="374" t="s">
        <v>551</v>
      </c>
      <c r="D34" s="118">
        <f>SUM(D35)</f>
        <v>40000</v>
      </c>
      <c r="E34" s="118">
        <f>SUM(E35)</f>
        <v>40000</v>
      </c>
      <c r="F34" s="118">
        <f>SUM(F35)</f>
        <v>0</v>
      </c>
    </row>
    <row r="35" spans="1:6" s="119" customFormat="1" ht="12.75" customHeight="1">
      <c r="A35" s="122"/>
      <c r="B35" s="122"/>
      <c r="C35" s="123" t="s">
        <v>651</v>
      </c>
      <c r="D35" s="120">
        <v>40000</v>
      </c>
      <c r="E35" s="120">
        <v>40000</v>
      </c>
      <c r="F35" s="120"/>
    </row>
    <row r="36" spans="1:6" s="119" customFormat="1" ht="24.75" customHeight="1">
      <c r="A36" s="122"/>
      <c r="B36" s="122" t="s">
        <v>552</v>
      </c>
      <c r="C36" s="374" t="s">
        <v>553</v>
      </c>
      <c r="D36" s="118">
        <f>SUM(D37)</f>
        <v>5000</v>
      </c>
      <c r="E36" s="118">
        <f>SUM(E37)</f>
        <v>8000</v>
      </c>
      <c r="F36" s="118">
        <f>SUM(F37)</f>
        <v>0</v>
      </c>
    </row>
    <row r="37" spans="1:6" s="119" customFormat="1" ht="15" customHeight="1">
      <c r="A37" s="122"/>
      <c r="B37" s="122"/>
      <c r="C37" s="123" t="s">
        <v>651</v>
      </c>
      <c r="D37" s="120">
        <v>5000</v>
      </c>
      <c r="E37" s="120">
        <v>8000</v>
      </c>
      <c r="F37" s="120"/>
    </row>
    <row r="38" spans="1:6" s="119" customFormat="1" ht="13.5" customHeight="1">
      <c r="A38" s="122"/>
      <c r="B38" s="122" t="s">
        <v>554</v>
      </c>
      <c r="C38" s="374" t="s">
        <v>555</v>
      </c>
      <c r="D38" s="118">
        <f>SUM(D39,D41)</f>
        <v>216768</v>
      </c>
      <c r="E38" s="118">
        <f>SUM(E39,E41)</f>
        <v>218105</v>
      </c>
      <c r="F38" s="118">
        <f>SUM(F39)+F41</f>
        <v>0</v>
      </c>
    </row>
    <row r="39" spans="1:6" s="119" customFormat="1" ht="14.25" customHeight="1">
      <c r="A39" s="122"/>
      <c r="B39" s="122"/>
      <c r="C39" s="123" t="s">
        <v>655</v>
      </c>
      <c r="D39" s="120">
        <v>203768</v>
      </c>
      <c r="E39" s="120">
        <v>218105</v>
      </c>
      <c r="F39" s="387"/>
    </row>
    <row r="40" spans="1:6" s="119" customFormat="1" ht="12" customHeight="1">
      <c r="A40" s="122"/>
      <c r="B40" s="122"/>
      <c r="C40" s="123" t="s">
        <v>656</v>
      </c>
      <c r="D40" s="120">
        <v>175326</v>
      </c>
      <c r="E40" s="120">
        <v>197945</v>
      </c>
      <c r="F40" s="387"/>
    </row>
    <row r="41" spans="1:6" s="119" customFormat="1" ht="12" customHeight="1">
      <c r="A41" s="122"/>
      <c r="B41" s="122"/>
      <c r="C41" s="123" t="s">
        <v>658</v>
      </c>
      <c r="D41" s="120">
        <v>13000</v>
      </c>
      <c r="E41" s="120">
        <v>0</v>
      </c>
      <c r="F41" s="387"/>
    </row>
    <row r="42" spans="1:6" s="119" customFormat="1" ht="13.5" customHeight="1">
      <c r="A42" s="122"/>
      <c r="B42" s="122" t="s">
        <v>659</v>
      </c>
      <c r="C42" s="374" t="s">
        <v>660</v>
      </c>
      <c r="D42" s="118">
        <f>D43</f>
        <v>1000</v>
      </c>
      <c r="E42" s="118">
        <f>E43</f>
        <v>1000</v>
      </c>
      <c r="F42" s="118">
        <f>F43</f>
        <v>0</v>
      </c>
    </row>
    <row r="43" spans="1:6" s="119" customFormat="1" ht="14.25" customHeight="1">
      <c r="A43" s="122"/>
      <c r="B43" s="122"/>
      <c r="C43" s="123" t="s">
        <v>651</v>
      </c>
      <c r="D43" s="120">
        <v>1000</v>
      </c>
      <c r="E43" s="120">
        <v>1000</v>
      </c>
      <c r="F43" s="120"/>
    </row>
    <row r="44" spans="1:6" s="119" customFormat="1" ht="18.75" customHeight="1">
      <c r="A44" s="122" t="s">
        <v>557</v>
      </c>
      <c r="B44" s="122"/>
      <c r="C44" s="343" t="s">
        <v>558</v>
      </c>
      <c r="D44" s="118">
        <f>SUM(D45,D48,D51,D54,D58,D61,D64,D68)</f>
        <v>5349994</v>
      </c>
      <c r="E44" s="118">
        <f>SUM(E45,E48,E51,E54,E58,E61,E64,E68)</f>
        <v>5539581</v>
      </c>
      <c r="F44" s="118">
        <f>SUM(F45,F48,F51,F54,F58,F61,F64,F68)</f>
        <v>0</v>
      </c>
    </row>
    <row r="45" spans="1:6" s="119" customFormat="1" ht="14.25" customHeight="1">
      <c r="A45" s="122"/>
      <c r="B45" s="122" t="s">
        <v>559</v>
      </c>
      <c r="C45" s="374" t="s">
        <v>560</v>
      </c>
      <c r="D45" s="118">
        <f>SUM(D46)</f>
        <v>197747</v>
      </c>
      <c r="E45" s="118">
        <f>SUM(E46)</f>
        <v>204542</v>
      </c>
      <c r="F45" s="118">
        <f>SUM(F46)</f>
        <v>0</v>
      </c>
    </row>
    <row r="46" spans="1:6" s="119" customFormat="1" ht="14.25" customHeight="1">
      <c r="A46" s="122"/>
      <c r="B46" s="122"/>
      <c r="C46" s="123" t="s">
        <v>655</v>
      </c>
      <c r="D46" s="120">
        <v>197747</v>
      </c>
      <c r="E46" s="120">
        <v>204542</v>
      </c>
      <c r="F46" s="388"/>
    </row>
    <row r="47" spans="1:6" s="119" customFormat="1" ht="14.25" customHeight="1">
      <c r="A47" s="122"/>
      <c r="B47" s="122"/>
      <c r="C47" s="123" t="s">
        <v>661</v>
      </c>
      <c r="D47" s="120">
        <v>184886</v>
      </c>
      <c r="E47" s="120">
        <v>187500</v>
      </c>
      <c r="F47" s="388"/>
    </row>
    <row r="48" spans="1:6" s="119" customFormat="1" ht="14.25" customHeight="1">
      <c r="A48" s="122"/>
      <c r="B48" s="122" t="s">
        <v>662</v>
      </c>
      <c r="C48" s="374" t="s">
        <v>663</v>
      </c>
      <c r="D48" s="118">
        <f>SUM(D49)</f>
        <v>5470</v>
      </c>
      <c r="E48" s="118">
        <f>SUM(E49)</f>
        <v>6000</v>
      </c>
      <c r="F48" s="118">
        <f>SUM(F49)</f>
        <v>0</v>
      </c>
    </row>
    <row r="49" spans="1:6" s="119" customFormat="1" ht="14.25" customHeight="1">
      <c r="A49" s="122"/>
      <c r="B49" s="122"/>
      <c r="C49" s="123" t="s">
        <v>664</v>
      </c>
      <c r="D49" s="120">
        <v>5470</v>
      </c>
      <c r="E49" s="120">
        <v>6000</v>
      </c>
      <c r="F49" s="120"/>
    </row>
    <row r="50" spans="1:6" s="119" customFormat="1" ht="14.25" customHeight="1">
      <c r="A50" s="122"/>
      <c r="B50" s="122"/>
      <c r="C50" s="123" t="s">
        <v>657</v>
      </c>
      <c r="D50" s="120">
        <v>5470</v>
      </c>
      <c r="E50" s="120">
        <v>6000</v>
      </c>
      <c r="F50" s="120"/>
    </row>
    <row r="51" spans="1:6" s="119" customFormat="1" ht="14.25" customHeight="1">
      <c r="A51" s="122" t="s">
        <v>557</v>
      </c>
      <c r="B51" s="122" t="s">
        <v>665</v>
      </c>
      <c r="C51" s="374" t="s">
        <v>666</v>
      </c>
      <c r="D51" s="118">
        <f>SUM(D52)</f>
        <v>313000</v>
      </c>
      <c r="E51" s="118">
        <f>SUM(E52)</f>
        <v>285200</v>
      </c>
      <c r="F51" s="118">
        <f>SUM(F52:F53)</f>
        <v>0</v>
      </c>
    </row>
    <row r="52" spans="1:6" s="119" customFormat="1" ht="14.25" customHeight="1">
      <c r="A52" s="122"/>
      <c r="B52" s="122"/>
      <c r="C52" s="123" t="s">
        <v>655</v>
      </c>
      <c r="D52" s="120">
        <v>313000</v>
      </c>
      <c r="E52" s="120">
        <v>285200</v>
      </c>
      <c r="F52" s="120"/>
    </row>
    <row r="53" spans="1:6" s="119" customFormat="1" ht="14.25" customHeight="1">
      <c r="A53" s="122"/>
      <c r="B53" s="122"/>
      <c r="C53" s="123" t="s">
        <v>661</v>
      </c>
      <c r="D53" s="120">
        <v>6000</v>
      </c>
      <c r="E53" s="120">
        <v>0</v>
      </c>
      <c r="F53" s="120"/>
    </row>
    <row r="54" spans="1:6" s="119" customFormat="1" ht="14.25" customHeight="1">
      <c r="A54" s="122"/>
      <c r="B54" s="122" t="s">
        <v>561</v>
      </c>
      <c r="C54" s="374" t="s">
        <v>562</v>
      </c>
      <c r="D54" s="118">
        <f>SUM(D55,D57)</f>
        <v>4424796</v>
      </c>
      <c r="E54" s="118">
        <f>SUM(E55,E57)</f>
        <v>4956839</v>
      </c>
      <c r="F54" s="118">
        <f>SUM(F55,F57)</f>
        <v>0</v>
      </c>
    </row>
    <row r="55" spans="1:6" s="119" customFormat="1" ht="14.25" customHeight="1">
      <c r="A55" s="122"/>
      <c r="B55" s="122"/>
      <c r="C55" s="123" t="s">
        <v>655</v>
      </c>
      <c r="D55" s="120">
        <v>4283246</v>
      </c>
      <c r="E55" s="120">
        <f>4956839-E57</f>
        <v>4726839</v>
      </c>
      <c r="F55" s="120"/>
    </row>
    <row r="56" spans="1:6" s="119" customFormat="1" ht="14.25" customHeight="1">
      <c r="A56" s="122"/>
      <c r="B56" s="122"/>
      <c r="C56" s="123" t="s">
        <v>656</v>
      </c>
      <c r="D56" s="120">
        <v>2373174</v>
      </c>
      <c r="E56" s="120">
        <v>2721122</v>
      </c>
      <c r="F56" s="120"/>
    </row>
    <row r="57" spans="1:6" s="119" customFormat="1" ht="14.25" customHeight="1">
      <c r="A57" s="122"/>
      <c r="B57" s="122"/>
      <c r="C57" s="123" t="s">
        <v>658</v>
      </c>
      <c r="D57" s="120">
        <f>124550+17000</f>
        <v>141550</v>
      </c>
      <c r="E57" s="120">
        <f>217300+12700</f>
        <v>230000</v>
      </c>
      <c r="F57" s="120"/>
    </row>
    <row r="58" spans="1:6" s="119" customFormat="1" ht="14.25" customHeight="1">
      <c r="A58" s="122"/>
      <c r="B58" s="122" t="s">
        <v>571</v>
      </c>
      <c r="C58" s="374" t="s">
        <v>572</v>
      </c>
      <c r="D58" s="118">
        <f>SUM(D59)</f>
        <v>26981</v>
      </c>
      <c r="E58" s="118">
        <f>SUM(E59)</f>
        <v>27000</v>
      </c>
      <c r="F58" s="118">
        <f>SUM(F59)</f>
        <v>0</v>
      </c>
    </row>
    <row r="59" spans="1:6" s="119" customFormat="1" ht="14.25" customHeight="1">
      <c r="A59" s="122"/>
      <c r="B59" s="122"/>
      <c r="C59" s="123" t="s">
        <v>655</v>
      </c>
      <c r="D59" s="120">
        <v>26981</v>
      </c>
      <c r="E59" s="120">
        <v>27000</v>
      </c>
      <c r="F59" s="387"/>
    </row>
    <row r="60" spans="1:6" s="119" customFormat="1" ht="14.25" customHeight="1">
      <c r="A60" s="122"/>
      <c r="B60" s="122"/>
      <c r="C60" s="123" t="s">
        <v>656</v>
      </c>
      <c r="D60" s="120">
        <v>15055</v>
      </c>
      <c r="E60" s="120">
        <v>15500</v>
      </c>
      <c r="F60" s="387"/>
    </row>
    <row r="61" spans="1:6" s="119" customFormat="1" ht="24" customHeight="1">
      <c r="A61" s="122"/>
      <c r="B61" s="122" t="s">
        <v>220</v>
      </c>
      <c r="C61" s="374" t="s">
        <v>321</v>
      </c>
      <c r="D61" s="118">
        <f>SUM(D62)</f>
        <v>57132</v>
      </c>
      <c r="E61" s="118">
        <f>SUM(E62)</f>
        <v>45000</v>
      </c>
      <c r="F61" s="118">
        <f>SUM(F62)</f>
        <v>0</v>
      </c>
    </row>
    <row r="62" spans="1:6" s="119" customFormat="1" ht="14.25" customHeight="1">
      <c r="A62" s="122"/>
      <c r="B62" s="122"/>
      <c r="C62" s="123" t="s">
        <v>655</v>
      </c>
      <c r="D62" s="120">
        <v>57132</v>
      </c>
      <c r="E62" s="120">
        <v>45000</v>
      </c>
      <c r="F62" s="388"/>
    </row>
    <row r="63" spans="1:6" s="119" customFormat="1" ht="14.25" customHeight="1">
      <c r="A63" s="122"/>
      <c r="B63" s="122"/>
      <c r="C63" s="123" t="s">
        <v>661</v>
      </c>
      <c r="D63" s="120">
        <v>1860</v>
      </c>
      <c r="E63" s="120">
        <v>5000</v>
      </c>
      <c r="F63" s="388"/>
    </row>
    <row r="64" spans="1:6" s="119" customFormat="1" ht="14.25" customHeight="1">
      <c r="A64" s="122"/>
      <c r="B64" s="122" t="s">
        <v>667</v>
      </c>
      <c r="C64" s="374" t="s">
        <v>632</v>
      </c>
      <c r="D64" s="118">
        <f>SUM(D65,D67)</f>
        <v>21068</v>
      </c>
      <c r="E64" s="118">
        <f>SUM(E65)</f>
        <v>15000</v>
      </c>
      <c r="F64" s="118">
        <f>SUM(F65)</f>
        <v>0</v>
      </c>
    </row>
    <row r="65" spans="1:6" s="119" customFormat="1" ht="14.25" customHeight="1">
      <c r="A65" s="122"/>
      <c r="B65" s="122"/>
      <c r="C65" s="123" t="s">
        <v>651</v>
      </c>
      <c r="D65" s="120">
        <v>8868</v>
      </c>
      <c r="E65" s="120">
        <v>15000</v>
      </c>
      <c r="F65" s="120"/>
    </row>
    <row r="66" spans="1:6" s="119" customFormat="1" ht="14.25" customHeight="1">
      <c r="A66" s="122"/>
      <c r="B66" s="122"/>
      <c r="C66" s="123" t="s">
        <v>657</v>
      </c>
      <c r="D66" s="120">
        <v>6000</v>
      </c>
      <c r="E66" s="120">
        <v>5000</v>
      </c>
      <c r="F66" s="120"/>
    </row>
    <row r="67" spans="1:6" s="119" customFormat="1" ht="14.25" customHeight="1">
      <c r="A67" s="122"/>
      <c r="B67" s="122"/>
      <c r="C67" s="123" t="s">
        <v>658</v>
      </c>
      <c r="D67" s="120">
        <v>12200</v>
      </c>
      <c r="E67" s="120">
        <v>0</v>
      </c>
      <c r="F67" s="120"/>
    </row>
    <row r="68" spans="1:6" s="119" customFormat="1" ht="14.25" customHeight="1">
      <c r="A68" s="122"/>
      <c r="B68" s="122" t="s">
        <v>573</v>
      </c>
      <c r="C68" s="374" t="s">
        <v>668</v>
      </c>
      <c r="D68" s="118">
        <f>SUM(D69)</f>
        <v>303800</v>
      </c>
      <c r="E68" s="118">
        <f>SUM(E69)</f>
        <v>0</v>
      </c>
      <c r="F68" s="118">
        <f>SUM(F69)</f>
        <v>0</v>
      </c>
    </row>
    <row r="69" spans="1:6" s="119" customFormat="1" ht="14.25" customHeight="1">
      <c r="A69" s="122"/>
      <c r="B69" s="122"/>
      <c r="C69" s="123" t="s">
        <v>664</v>
      </c>
      <c r="D69" s="120">
        <v>303800</v>
      </c>
      <c r="E69" s="120">
        <v>0</v>
      </c>
      <c r="F69" s="120"/>
    </row>
    <row r="70" spans="1:6" s="119" customFormat="1" ht="14.25" customHeight="1">
      <c r="A70" s="122"/>
      <c r="B70" s="122"/>
      <c r="C70" s="123" t="s">
        <v>657</v>
      </c>
      <c r="D70" s="120">
        <v>303800</v>
      </c>
      <c r="E70" s="120">
        <v>0</v>
      </c>
      <c r="F70" s="120"/>
    </row>
    <row r="71" spans="1:6" s="119" customFormat="1" ht="42.75" customHeight="1">
      <c r="A71" s="122" t="s">
        <v>574</v>
      </c>
      <c r="B71" s="122"/>
      <c r="C71" s="117" t="s">
        <v>575</v>
      </c>
      <c r="D71" s="118">
        <f>SUM(D74,D78,D81,D84,D72)</f>
        <v>2531250</v>
      </c>
      <c r="E71" s="118">
        <f>SUM(E74,E78,E81,E84,E72)</f>
        <v>2319176</v>
      </c>
      <c r="F71" s="118">
        <f>SUM(F74,F78,F81)</f>
        <v>0</v>
      </c>
    </row>
    <row r="72" spans="1:6" s="119" customFormat="1" ht="14.25" customHeight="1">
      <c r="A72" s="122"/>
      <c r="B72" s="122" t="s">
        <v>222</v>
      </c>
      <c r="C72" s="374" t="s">
        <v>292</v>
      </c>
      <c r="D72" s="118">
        <f>SUM(D73)</f>
        <v>66000</v>
      </c>
      <c r="E72" s="118">
        <f>SUM(E73)</f>
        <v>0</v>
      </c>
      <c r="F72" s="118">
        <f>SUM(F73)</f>
        <v>0</v>
      </c>
    </row>
    <row r="73" spans="1:6" s="119" customFormat="1" ht="14.25" customHeight="1">
      <c r="A73" s="122"/>
      <c r="B73" s="122"/>
      <c r="C73" s="123" t="s">
        <v>651</v>
      </c>
      <c r="D73" s="120">
        <v>66000</v>
      </c>
      <c r="E73" s="120">
        <v>0</v>
      </c>
      <c r="F73" s="120"/>
    </row>
    <row r="74" spans="1:6" s="119" customFormat="1" ht="23.25" customHeight="1">
      <c r="A74" s="122"/>
      <c r="B74" s="122" t="s">
        <v>576</v>
      </c>
      <c r="C74" s="374" t="s">
        <v>669</v>
      </c>
      <c r="D74" s="118">
        <f>SUM(D75,D77)</f>
        <v>2432250</v>
      </c>
      <c r="E74" s="118">
        <f>SUM(E75,E77)</f>
        <v>2280000</v>
      </c>
      <c r="F74" s="118">
        <f>SUM(F75,F77)</f>
        <v>0</v>
      </c>
    </row>
    <row r="75" spans="1:6" s="119" customFormat="1" ht="14.25" customHeight="1">
      <c r="A75" s="122"/>
      <c r="B75" s="122"/>
      <c r="C75" s="123" t="s">
        <v>655</v>
      </c>
      <c r="D75" s="120">
        <v>2191000</v>
      </c>
      <c r="E75" s="120">
        <v>2280000</v>
      </c>
      <c r="F75" s="120"/>
    </row>
    <row r="76" spans="1:6" s="119" customFormat="1" ht="12.75" customHeight="1">
      <c r="A76" s="122"/>
      <c r="B76" s="122"/>
      <c r="C76" s="123" t="s">
        <v>661</v>
      </c>
      <c r="D76" s="120">
        <v>1495462</v>
      </c>
      <c r="E76" s="120">
        <v>1810245</v>
      </c>
      <c r="F76" s="120"/>
    </row>
    <row r="77" spans="1:6" s="119" customFormat="1" ht="14.25" customHeight="1">
      <c r="A77" s="122"/>
      <c r="B77" s="122"/>
      <c r="C77" s="123" t="s">
        <v>658</v>
      </c>
      <c r="D77" s="120">
        <v>241250</v>
      </c>
      <c r="E77" s="120">
        <f>SUM(F77:F77)</f>
        <v>0</v>
      </c>
      <c r="F77" s="120"/>
    </row>
    <row r="78" spans="1:6" s="119" customFormat="1" ht="15">
      <c r="A78" s="122"/>
      <c r="B78" s="122" t="s">
        <v>579</v>
      </c>
      <c r="C78" s="374" t="s">
        <v>580</v>
      </c>
      <c r="D78" s="118">
        <f>SUM(D79:D80)</f>
        <v>30000</v>
      </c>
      <c r="E78" s="118">
        <f>SUM(E79:E80)</f>
        <v>31176</v>
      </c>
      <c r="F78" s="118">
        <f>SUM(F79:F80)</f>
        <v>0</v>
      </c>
    </row>
    <row r="79" spans="1:6" s="119" customFormat="1" ht="14.25" customHeight="1">
      <c r="A79" s="122"/>
      <c r="B79" s="122"/>
      <c r="C79" s="123" t="s">
        <v>651</v>
      </c>
      <c r="D79" s="120">
        <v>11000</v>
      </c>
      <c r="E79" s="120">
        <v>22176</v>
      </c>
      <c r="F79" s="120"/>
    </row>
    <row r="80" spans="1:6" s="119" customFormat="1" ht="14.25" customHeight="1">
      <c r="A80" s="122"/>
      <c r="B80" s="122"/>
      <c r="C80" s="123" t="s">
        <v>658</v>
      </c>
      <c r="D80" s="120">
        <v>19000</v>
      </c>
      <c r="E80" s="120">
        <v>9000</v>
      </c>
      <c r="F80" s="120"/>
    </row>
    <row r="81" spans="1:6" s="119" customFormat="1" ht="15">
      <c r="A81" s="122"/>
      <c r="B81" s="122" t="s">
        <v>670</v>
      </c>
      <c r="C81" s="374" t="s">
        <v>671</v>
      </c>
      <c r="D81" s="118">
        <f>SUM(D82)</f>
        <v>3000</v>
      </c>
      <c r="E81" s="118">
        <f>SUM(E82)</f>
        <v>5000</v>
      </c>
      <c r="F81" s="118">
        <f>SUM(F82)</f>
        <v>0</v>
      </c>
    </row>
    <row r="82" spans="1:6" s="119" customFormat="1" ht="14.25" customHeight="1">
      <c r="A82" s="122"/>
      <c r="B82" s="122"/>
      <c r="C82" s="123" t="s">
        <v>664</v>
      </c>
      <c r="D82" s="120">
        <v>3000</v>
      </c>
      <c r="E82" s="120">
        <v>5000</v>
      </c>
      <c r="F82" s="120"/>
    </row>
    <row r="83" spans="1:6" s="119" customFormat="1" ht="14.25" customHeight="1">
      <c r="A83" s="122"/>
      <c r="B83" s="122"/>
      <c r="C83" s="123" t="s">
        <v>657</v>
      </c>
      <c r="D83" s="120">
        <v>3000</v>
      </c>
      <c r="E83" s="120">
        <v>5000</v>
      </c>
      <c r="F83" s="120"/>
    </row>
    <row r="84" spans="1:6" s="119" customFormat="1" ht="15">
      <c r="A84" s="122"/>
      <c r="B84" s="122" t="s">
        <v>221</v>
      </c>
      <c r="C84" s="374" t="s">
        <v>632</v>
      </c>
      <c r="D84" s="118">
        <f>SUM(D85)</f>
        <v>0</v>
      </c>
      <c r="E84" s="118">
        <f>SUM(E85)</f>
        <v>3000</v>
      </c>
      <c r="F84" s="118">
        <f>SUM(F85)</f>
        <v>0</v>
      </c>
    </row>
    <row r="85" spans="1:6" s="119" customFormat="1" ht="14.25" customHeight="1">
      <c r="A85" s="122"/>
      <c r="B85" s="122"/>
      <c r="C85" s="123" t="s">
        <v>664</v>
      </c>
      <c r="D85" s="120">
        <v>0</v>
      </c>
      <c r="E85" s="120">
        <v>3000</v>
      </c>
      <c r="F85" s="120"/>
    </row>
    <row r="86" spans="1:6" s="119" customFormat="1" ht="14.25" customHeight="1">
      <c r="A86" s="122"/>
      <c r="B86" s="122"/>
      <c r="C86" s="123" t="s">
        <v>657</v>
      </c>
      <c r="D86" s="120">
        <v>0</v>
      </c>
      <c r="E86" s="120">
        <v>3000</v>
      </c>
      <c r="F86" s="120"/>
    </row>
    <row r="87" spans="1:6" s="119" customFormat="1" ht="30.75" customHeight="1">
      <c r="A87" s="122" t="s">
        <v>672</v>
      </c>
      <c r="B87" s="122"/>
      <c r="C87" s="117" t="s">
        <v>673</v>
      </c>
      <c r="D87" s="118">
        <f>SUM(D88,D91)</f>
        <v>984079</v>
      </c>
      <c r="E87" s="118">
        <f>SUM(E88,E91)</f>
        <v>1123415</v>
      </c>
      <c r="F87" s="118">
        <f>SUM(F88,F91)</f>
        <v>0</v>
      </c>
    </row>
    <row r="88" spans="1:6" s="119" customFormat="1" ht="25.5" customHeight="1">
      <c r="A88" s="122"/>
      <c r="B88" s="122" t="s">
        <v>674</v>
      </c>
      <c r="C88" s="374" t="s">
        <v>675</v>
      </c>
      <c r="D88" s="118">
        <f aca="true" t="shared" si="2" ref="D88:F91">SUM(D89)</f>
        <v>984079</v>
      </c>
      <c r="E88" s="118">
        <f t="shared" si="2"/>
        <v>973415</v>
      </c>
      <c r="F88" s="118">
        <f t="shared" si="2"/>
        <v>0</v>
      </c>
    </row>
    <row r="89" spans="1:6" s="119" customFormat="1" ht="14.25" customHeight="1">
      <c r="A89" s="122"/>
      <c r="B89" s="122"/>
      <c r="C89" s="123" t="s">
        <v>655</v>
      </c>
      <c r="D89" s="120">
        <f>SUM(D90)</f>
        <v>984079</v>
      </c>
      <c r="E89" s="120">
        <v>973415</v>
      </c>
      <c r="F89" s="120"/>
    </row>
    <row r="90" spans="1:6" s="119" customFormat="1" ht="14.25" customHeight="1">
      <c r="A90" s="122"/>
      <c r="B90" s="122"/>
      <c r="C90" s="123" t="s">
        <v>728</v>
      </c>
      <c r="D90" s="120">
        <v>984079</v>
      </c>
      <c r="E90" s="120">
        <v>973415</v>
      </c>
      <c r="F90" s="120"/>
    </row>
    <row r="91" spans="1:6" s="119" customFormat="1" ht="36">
      <c r="A91" s="122"/>
      <c r="B91" s="122" t="s">
        <v>676</v>
      </c>
      <c r="C91" s="374" t="s">
        <v>677</v>
      </c>
      <c r="D91" s="118">
        <f t="shared" si="2"/>
        <v>0</v>
      </c>
      <c r="E91" s="118">
        <f t="shared" si="2"/>
        <v>150000</v>
      </c>
      <c r="F91" s="118">
        <f t="shared" si="2"/>
        <v>0</v>
      </c>
    </row>
    <row r="92" spans="1:6" s="119" customFormat="1" ht="14.25" customHeight="1">
      <c r="A92" s="122"/>
      <c r="B92" s="122"/>
      <c r="C92" s="123" t="s">
        <v>655</v>
      </c>
      <c r="D92" s="120">
        <v>0</v>
      </c>
      <c r="E92" s="120">
        <v>150000</v>
      </c>
      <c r="F92" s="120"/>
    </row>
    <row r="93" spans="1:6" s="119" customFormat="1" ht="24.75" customHeight="1">
      <c r="A93" s="122"/>
      <c r="B93" s="122"/>
      <c r="C93" s="123" t="s">
        <v>729</v>
      </c>
      <c r="D93" s="120">
        <v>0</v>
      </c>
      <c r="E93" s="120">
        <v>150000</v>
      </c>
      <c r="F93" s="120"/>
    </row>
    <row r="94" spans="1:6" s="119" customFormat="1" ht="18" customHeight="1">
      <c r="A94" s="122" t="s">
        <v>588</v>
      </c>
      <c r="B94" s="122"/>
      <c r="C94" s="117" t="s">
        <v>589</v>
      </c>
      <c r="D94" s="118">
        <f>SUM(D95:D95)</f>
        <v>88858</v>
      </c>
      <c r="E94" s="118">
        <f>SUM(E95:E95)</f>
        <v>1229905</v>
      </c>
      <c r="F94" s="118">
        <f>SUM(F95:F95)</f>
        <v>0</v>
      </c>
    </row>
    <row r="95" spans="1:6" s="119" customFormat="1" ht="15" customHeight="1">
      <c r="A95" s="122"/>
      <c r="B95" s="122" t="s">
        <v>678</v>
      </c>
      <c r="C95" s="374" t="s">
        <v>679</v>
      </c>
      <c r="D95" s="118">
        <f>SUM(D96)</f>
        <v>88858</v>
      </c>
      <c r="E95" s="118">
        <f>SUM(E96)</f>
        <v>1229905</v>
      </c>
      <c r="F95" s="118">
        <f>SUM(F96)</f>
        <v>0</v>
      </c>
    </row>
    <row r="96" spans="1:6" s="119" customFormat="1" ht="15" customHeight="1">
      <c r="A96" s="122"/>
      <c r="B96" s="122"/>
      <c r="C96" s="123" t="s">
        <v>651</v>
      </c>
      <c r="D96" s="120">
        <v>88858</v>
      </c>
      <c r="E96" s="120">
        <f>1237560-7655</f>
        <v>1229905</v>
      </c>
      <c r="F96" s="120"/>
    </row>
    <row r="97" spans="1:6" s="69" customFormat="1" ht="18.75" customHeight="1">
      <c r="A97" s="122" t="s">
        <v>600</v>
      </c>
      <c r="B97" s="122"/>
      <c r="C97" s="117" t="s">
        <v>601</v>
      </c>
      <c r="D97" s="118">
        <f>SUM(D98,D101,D104,D110,D118,D123,D126,D132,D115,D129,D107,D135)</f>
        <v>22978762</v>
      </c>
      <c r="E97" s="118">
        <f>SUM(E98,E101,E104,E110,E118,E123,E126,E132,E115,E129,E107,E135)</f>
        <v>22589359</v>
      </c>
      <c r="F97" s="118">
        <f>SUM(F98,F101,F104,F110,F118,F123,F126,F132,F115,F129,F107,F135)</f>
        <v>0</v>
      </c>
    </row>
    <row r="98" spans="1:6" s="69" customFormat="1" ht="14.25" customHeight="1">
      <c r="A98" s="122"/>
      <c r="B98" s="122" t="s">
        <v>680</v>
      </c>
      <c r="C98" s="374" t="s">
        <v>681</v>
      </c>
      <c r="D98" s="118">
        <f>SUM(D99)</f>
        <v>1753017</v>
      </c>
      <c r="E98" s="118">
        <f>SUM(E99)</f>
        <v>1646694</v>
      </c>
      <c r="F98" s="118">
        <f>SUM(F99)</f>
        <v>0</v>
      </c>
    </row>
    <row r="99" spans="1:6" s="69" customFormat="1" ht="14.25" customHeight="1">
      <c r="A99" s="122"/>
      <c r="B99" s="122"/>
      <c r="C99" s="123" t="s">
        <v>655</v>
      </c>
      <c r="D99" s="120">
        <v>1753017</v>
      </c>
      <c r="E99" s="120">
        <v>1646694</v>
      </c>
      <c r="F99" s="120"/>
    </row>
    <row r="100" spans="1:6" s="69" customFormat="1" ht="14.25" customHeight="1">
      <c r="A100" s="122"/>
      <c r="B100" s="122"/>
      <c r="C100" s="123" t="s">
        <v>661</v>
      </c>
      <c r="D100" s="120">
        <v>1617852</v>
      </c>
      <c r="E100" s="120">
        <v>1515069</v>
      </c>
      <c r="F100" s="120"/>
    </row>
    <row r="101" spans="1:6" s="69" customFormat="1" ht="14.25" customHeight="1">
      <c r="A101" s="391"/>
      <c r="B101" s="122" t="s">
        <v>682</v>
      </c>
      <c r="C101" s="374" t="s">
        <v>683</v>
      </c>
      <c r="D101" s="118">
        <f>SUM(D102)</f>
        <v>504599</v>
      </c>
      <c r="E101" s="118">
        <f>SUM(E102)</f>
        <v>503479</v>
      </c>
      <c r="F101" s="118">
        <f>SUM(F102)</f>
        <v>0</v>
      </c>
    </row>
    <row r="102" spans="1:6" s="69" customFormat="1" ht="14.25" customHeight="1">
      <c r="A102" s="122"/>
      <c r="B102" s="122"/>
      <c r="C102" s="123" t="s">
        <v>655</v>
      </c>
      <c r="D102" s="120">
        <v>504599</v>
      </c>
      <c r="E102" s="120">
        <v>503479</v>
      </c>
      <c r="F102" s="120"/>
    </row>
    <row r="103" spans="1:6" s="69" customFormat="1" ht="12.75" customHeight="1">
      <c r="A103" s="391"/>
      <c r="B103" s="122"/>
      <c r="C103" s="123" t="s">
        <v>661</v>
      </c>
      <c r="D103" s="120">
        <v>428760</v>
      </c>
      <c r="E103" s="120">
        <v>437691</v>
      </c>
      <c r="F103" s="120"/>
    </row>
    <row r="104" spans="1:6" s="69" customFormat="1" ht="14.25" customHeight="1">
      <c r="A104" s="122"/>
      <c r="B104" s="122" t="s">
        <v>684</v>
      </c>
      <c r="C104" s="374" t="s">
        <v>685</v>
      </c>
      <c r="D104" s="118">
        <f>SUM(D105)</f>
        <v>1278468</v>
      </c>
      <c r="E104" s="118">
        <f>SUM(E105)</f>
        <v>1576430</v>
      </c>
      <c r="F104" s="118">
        <f>SUM(F105)</f>
        <v>0</v>
      </c>
    </row>
    <row r="105" spans="1:6" s="69" customFormat="1" ht="14.25" customHeight="1">
      <c r="A105" s="122"/>
      <c r="B105" s="122"/>
      <c r="C105" s="123" t="s">
        <v>655</v>
      </c>
      <c r="D105" s="120">
        <v>1278468</v>
      </c>
      <c r="E105" s="120">
        <v>1576430</v>
      </c>
      <c r="F105" s="120"/>
    </row>
    <row r="106" spans="1:6" s="69" customFormat="1" ht="12.75" customHeight="1">
      <c r="A106" s="391"/>
      <c r="B106" s="122"/>
      <c r="C106" s="123" t="s">
        <v>661</v>
      </c>
      <c r="D106" s="120">
        <v>1176310</v>
      </c>
      <c r="E106" s="120">
        <v>1448371</v>
      </c>
      <c r="F106" s="120"/>
    </row>
    <row r="107" spans="1:6" s="69" customFormat="1" ht="26.25" customHeight="1">
      <c r="A107" s="122"/>
      <c r="B107" s="122" t="s">
        <v>223</v>
      </c>
      <c r="C107" s="374" t="s">
        <v>310</v>
      </c>
      <c r="D107" s="118">
        <f>SUM(D108)</f>
        <v>181000</v>
      </c>
      <c r="E107" s="118">
        <f>SUM(E108)</f>
        <v>225878</v>
      </c>
      <c r="F107" s="118">
        <f>SUM(F108)</f>
        <v>0</v>
      </c>
    </row>
    <row r="108" spans="1:6" s="69" customFormat="1" ht="14.25" customHeight="1">
      <c r="A108" s="122"/>
      <c r="B108" s="122"/>
      <c r="C108" s="123" t="s">
        <v>655</v>
      </c>
      <c r="D108" s="120">
        <v>181000</v>
      </c>
      <c r="E108" s="120">
        <v>225878</v>
      </c>
      <c r="F108" s="120"/>
    </row>
    <row r="109" spans="1:6" s="69" customFormat="1" ht="12.75" customHeight="1">
      <c r="A109" s="391"/>
      <c r="B109" s="122"/>
      <c r="C109" s="123" t="s">
        <v>661</v>
      </c>
      <c r="D109" s="120">
        <v>181000</v>
      </c>
      <c r="E109" s="120">
        <v>225878</v>
      </c>
      <c r="F109" s="120"/>
    </row>
    <row r="110" spans="1:6" s="69" customFormat="1" ht="14.25" customHeight="1">
      <c r="A110" s="391"/>
      <c r="B110" s="122" t="s">
        <v>602</v>
      </c>
      <c r="C110" s="374" t="s">
        <v>686</v>
      </c>
      <c r="D110" s="118">
        <f>SUM(D111)+D114</f>
        <v>5439561</v>
      </c>
      <c r="E110" s="118">
        <f>SUM(E111)+E114</f>
        <v>5398972</v>
      </c>
      <c r="F110" s="118">
        <f>SUM(F111)+F114</f>
        <v>0</v>
      </c>
    </row>
    <row r="111" spans="1:6" s="69" customFormat="1" ht="14.25" customHeight="1">
      <c r="A111" s="391"/>
      <c r="B111" s="122"/>
      <c r="C111" s="123" t="s">
        <v>655</v>
      </c>
      <c r="D111" s="120">
        <v>5312496</v>
      </c>
      <c r="E111" s="120">
        <v>5398972</v>
      </c>
      <c r="F111" s="120"/>
    </row>
    <row r="112" spans="1:6" s="69" customFormat="1" ht="14.25" customHeight="1">
      <c r="A112" s="391"/>
      <c r="B112" s="122"/>
      <c r="C112" s="123" t="s">
        <v>661</v>
      </c>
      <c r="D112" s="120">
        <v>4378370</v>
      </c>
      <c r="E112" s="120">
        <v>4369883</v>
      </c>
      <c r="F112" s="120"/>
    </row>
    <row r="113" spans="1:6" s="69" customFormat="1" ht="14.25" customHeight="1">
      <c r="A113" s="122"/>
      <c r="B113" s="122"/>
      <c r="C113" s="123" t="s">
        <v>687</v>
      </c>
      <c r="D113" s="124">
        <v>123800</v>
      </c>
      <c r="E113" s="124">
        <v>104400</v>
      </c>
      <c r="F113" s="120"/>
    </row>
    <row r="114" spans="1:6" s="69" customFormat="1" ht="14.25" customHeight="1">
      <c r="A114" s="122"/>
      <c r="B114" s="122"/>
      <c r="C114" s="123" t="s">
        <v>658</v>
      </c>
      <c r="D114" s="124">
        <v>127065</v>
      </c>
      <c r="E114" s="124">
        <v>0</v>
      </c>
      <c r="F114" s="124"/>
    </row>
    <row r="115" spans="1:6" s="69" customFormat="1" ht="14.25" customHeight="1">
      <c r="A115" s="391"/>
      <c r="B115" s="122" t="s">
        <v>688</v>
      </c>
      <c r="C115" s="374" t="s">
        <v>689</v>
      </c>
      <c r="D115" s="118">
        <f>SUM(D116)</f>
        <v>868212</v>
      </c>
      <c r="E115" s="118">
        <f>SUM(E116)</f>
        <v>806729</v>
      </c>
      <c r="F115" s="118">
        <f>SUM(F116)</f>
        <v>0</v>
      </c>
    </row>
    <row r="116" spans="1:6" s="69" customFormat="1" ht="14.25" customHeight="1">
      <c r="A116" s="391"/>
      <c r="B116" s="122"/>
      <c r="C116" s="123" t="s">
        <v>655</v>
      </c>
      <c r="D116" s="124">
        <v>868212</v>
      </c>
      <c r="E116" s="124">
        <v>806729</v>
      </c>
      <c r="F116" s="120"/>
    </row>
    <row r="117" spans="1:6" s="69" customFormat="1" ht="14.25" customHeight="1">
      <c r="A117" s="391"/>
      <c r="B117" s="122"/>
      <c r="C117" s="123" t="s">
        <v>661</v>
      </c>
      <c r="D117" s="124">
        <v>711260</v>
      </c>
      <c r="E117" s="124">
        <v>639730</v>
      </c>
      <c r="F117" s="120"/>
    </row>
    <row r="118" spans="1:6" s="69" customFormat="1" ht="14.25" customHeight="1">
      <c r="A118" s="391"/>
      <c r="B118" s="358" t="s">
        <v>606</v>
      </c>
      <c r="C118" s="374" t="s">
        <v>607</v>
      </c>
      <c r="D118" s="118">
        <f>SUM(D119,D122)</f>
        <v>11231768</v>
      </c>
      <c r="E118" s="118">
        <f>SUM(E119,E122)</f>
        <v>10748438</v>
      </c>
      <c r="F118" s="118">
        <f>SUM(F119,F122)</f>
        <v>0</v>
      </c>
    </row>
    <row r="119" spans="1:6" s="69" customFormat="1" ht="14.25" customHeight="1">
      <c r="A119" s="391"/>
      <c r="B119" s="392"/>
      <c r="C119" s="123" t="s">
        <v>655</v>
      </c>
      <c r="D119" s="120">
        <v>11226766</v>
      </c>
      <c r="E119" s="120">
        <v>10748438</v>
      </c>
      <c r="F119" s="120"/>
    </row>
    <row r="120" spans="1:6" s="69" customFormat="1" ht="14.25" customHeight="1">
      <c r="A120" s="391"/>
      <c r="B120" s="122"/>
      <c r="C120" s="123" t="s">
        <v>661</v>
      </c>
      <c r="D120" s="120">
        <v>8920293</v>
      </c>
      <c r="E120" s="120">
        <v>8735365</v>
      </c>
      <c r="F120" s="120"/>
    </row>
    <row r="121" spans="1:6" s="69" customFormat="1" ht="14.25" customHeight="1">
      <c r="A121" s="391"/>
      <c r="B121" s="122"/>
      <c r="C121" s="123" t="s">
        <v>687</v>
      </c>
      <c r="D121" s="120">
        <v>234661</v>
      </c>
      <c r="E121" s="120">
        <v>296400</v>
      </c>
      <c r="F121" s="120"/>
    </row>
    <row r="122" spans="1:6" s="69" customFormat="1" ht="14.25" customHeight="1">
      <c r="A122" s="391"/>
      <c r="B122" s="122"/>
      <c r="C122" s="123" t="s">
        <v>658</v>
      </c>
      <c r="D122" s="120">
        <v>5002</v>
      </c>
      <c r="E122" s="120">
        <v>0</v>
      </c>
      <c r="F122" s="120"/>
    </row>
    <row r="123" spans="1:6" s="69" customFormat="1" ht="14.25" customHeight="1">
      <c r="A123" s="391"/>
      <c r="B123" s="122" t="s">
        <v>690</v>
      </c>
      <c r="C123" s="374" t="s">
        <v>691</v>
      </c>
      <c r="D123" s="118">
        <f>SUM(D124)</f>
        <v>639515</v>
      </c>
      <c r="E123" s="118">
        <f>SUM(E124)</f>
        <v>601066</v>
      </c>
      <c r="F123" s="118">
        <f>SUM(F124)</f>
        <v>0</v>
      </c>
    </row>
    <row r="124" spans="1:6" s="69" customFormat="1" ht="14.25" customHeight="1">
      <c r="A124" s="391"/>
      <c r="B124" s="122"/>
      <c r="C124" s="123" t="s">
        <v>655</v>
      </c>
      <c r="D124" s="120">
        <v>639515</v>
      </c>
      <c r="E124" s="120">
        <v>601066</v>
      </c>
      <c r="F124" s="120"/>
    </row>
    <row r="125" spans="1:6" s="69" customFormat="1" ht="14.25" customHeight="1">
      <c r="A125" s="391"/>
      <c r="B125" s="122"/>
      <c r="C125" s="123" t="s">
        <v>661</v>
      </c>
      <c r="D125" s="120">
        <v>576296</v>
      </c>
      <c r="E125" s="120">
        <v>543874</v>
      </c>
      <c r="F125" s="120"/>
    </row>
    <row r="126" spans="1:6" s="69" customFormat="1" ht="35.25" customHeight="1">
      <c r="A126" s="391"/>
      <c r="B126" s="122" t="s">
        <v>609</v>
      </c>
      <c r="C126" s="374" t="s">
        <v>692</v>
      </c>
      <c r="D126" s="118">
        <f>SUM(D127)</f>
        <v>833967</v>
      </c>
      <c r="E126" s="118">
        <f>SUM(E127)</f>
        <v>827150</v>
      </c>
      <c r="F126" s="118">
        <f>SUM(F127)</f>
        <v>0</v>
      </c>
    </row>
    <row r="127" spans="1:6" s="69" customFormat="1" ht="14.25" customHeight="1">
      <c r="A127" s="391"/>
      <c r="B127" s="122"/>
      <c r="C127" s="123" t="s">
        <v>655</v>
      </c>
      <c r="D127" s="120">
        <v>833967</v>
      </c>
      <c r="E127" s="120">
        <v>827150</v>
      </c>
      <c r="F127" s="120"/>
    </row>
    <row r="128" spans="1:6" s="69" customFormat="1" ht="14.25" customHeight="1">
      <c r="A128" s="391"/>
      <c r="B128" s="122"/>
      <c r="C128" s="123" t="s">
        <v>661</v>
      </c>
      <c r="D128" s="120">
        <v>542078</v>
      </c>
      <c r="E128" s="120">
        <v>621503</v>
      </c>
      <c r="F128" s="120"/>
    </row>
    <row r="129" spans="1:6" s="69" customFormat="1" ht="15">
      <c r="A129" s="391"/>
      <c r="B129" s="122" t="s">
        <v>693</v>
      </c>
      <c r="C129" s="374" t="s">
        <v>694</v>
      </c>
      <c r="D129" s="118">
        <f>SUM(D130)</f>
        <v>106570</v>
      </c>
      <c r="E129" s="118">
        <f>SUM(E130)</f>
        <v>117315</v>
      </c>
      <c r="F129" s="118">
        <f>SUM(F130)</f>
        <v>0</v>
      </c>
    </row>
    <row r="130" spans="1:6" s="69" customFormat="1" ht="14.25" customHeight="1">
      <c r="A130" s="391"/>
      <c r="B130" s="122"/>
      <c r="C130" s="123" t="s">
        <v>655</v>
      </c>
      <c r="D130" s="120">
        <v>106570</v>
      </c>
      <c r="E130" s="120">
        <f>133986-16671</f>
        <v>117315</v>
      </c>
      <c r="F130" s="120"/>
    </row>
    <row r="131" spans="1:6" s="69" customFormat="1" ht="14.25" customHeight="1">
      <c r="A131" s="391"/>
      <c r="B131" s="122"/>
      <c r="C131" s="123" t="s">
        <v>661</v>
      </c>
      <c r="D131" s="120">
        <v>20907</v>
      </c>
      <c r="E131" s="120">
        <v>16018</v>
      </c>
      <c r="F131" s="120"/>
    </row>
    <row r="132" spans="1:6" s="69" customFormat="1" ht="15">
      <c r="A132" s="391"/>
      <c r="B132" s="122" t="s">
        <v>611</v>
      </c>
      <c r="C132" s="374" t="s">
        <v>632</v>
      </c>
      <c r="D132" s="118">
        <f>SUM(D133)</f>
        <v>138585</v>
      </c>
      <c r="E132" s="118">
        <f>SUM(E133)</f>
        <v>137208</v>
      </c>
      <c r="F132" s="118">
        <f>SUM(F133)</f>
        <v>0</v>
      </c>
    </row>
    <row r="133" spans="1:6" s="69" customFormat="1" ht="14.25" customHeight="1">
      <c r="A133" s="391"/>
      <c r="B133" s="122"/>
      <c r="C133" s="123" t="s">
        <v>651</v>
      </c>
      <c r="D133" s="120">
        <v>138585</v>
      </c>
      <c r="E133" s="120">
        <v>137208</v>
      </c>
      <c r="F133" s="120"/>
    </row>
    <row r="134" spans="1:6" s="69" customFormat="1" ht="14.25" customHeight="1">
      <c r="A134" s="391"/>
      <c r="B134" s="122"/>
      <c r="C134" s="123" t="s">
        <v>661</v>
      </c>
      <c r="D134" s="120">
        <v>2830</v>
      </c>
      <c r="E134" s="120">
        <v>0</v>
      </c>
      <c r="F134" s="120"/>
    </row>
    <row r="135" spans="1:6" s="69" customFormat="1" ht="15">
      <c r="A135" s="391"/>
      <c r="B135" s="122" t="s">
        <v>161</v>
      </c>
      <c r="C135" s="374" t="s">
        <v>668</v>
      </c>
      <c r="D135" s="118">
        <f>SUM(D136)</f>
        <v>3500</v>
      </c>
      <c r="E135" s="118">
        <f>SUM(E136)</f>
        <v>0</v>
      </c>
      <c r="F135" s="118">
        <f>E135</f>
        <v>0</v>
      </c>
    </row>
    <row r="136" spans="1:6" s="69" customFormat="1" ht="14.25" customHeight="1">
      <c r="A136" s="391"/>
      <c r="B136" s="122"/>
      <c r="C136" s="123" t="s">
        <v>655</v>
      </c>
      <c r="D136" s="120">
        <v>3500</v>
      </c>
      <c r="E136" s="120">
        <v>0</v>
      </c>
      <c r="F136" s="120"/>
    </row>
    <row r="137" spans="1:6" s="69" customFormat="1" ht="14.25" customHeight="1">
      <c r="A137" s="391"/>
      <c r="B137" s="122"/>
      <c r="C137" s="123" t="s">
        <v>687</v>
      </c>
      <c r="D137" s="120">
        <v>3500</v>
      </c>
      <c r="E137" s="120">
        <v>0</v>
      </c>
      <c r="F137" s="120"/>
    </row>
    <row r="138" spans="1:6" s="119" customFormat="1" ht="16.5" customHeight="1">
      <c r="A138" s="122" t="s">
        <v>162</v>
      </c>
      <c r="B138" s="122"/>
      <c r="C138" s="374" t="s">
        <v>163</v>
      </c>
      <c r="D138" s="118">
        <f>SUM(D139)</f>
        <v>136051</v>
      </c>
      <c r="E138" s="118">
        <f>SUM(E139)</f>
        <v>129450</v>
      </c>
      <c r="F138" s="118">
        <f>SUM(F139)</f>
        <v>0</v>
      </c>
    </row>
    <row r="139" spans="1:6" s="119" customFormat="1" ht="14.25" customHeight="1">
      <c r="A139" s="122"/>
      <c r="B139" s="122" t="s">
        <v>164</v>
      </c>
      <c r="C139" s="374" t="s">
        <v>190</v>
      </c>
      <c r="D139" s="118">
        <f>SUM(D140)</f>
        <v>136051</v>
      </c>
      <c r="E139" s="118">
        <f>SUM(E140)</f>
        <v>129450</v>
      </c>
      <c r="F139" s="118">
        <f>SUM(F140,F141)</f>
        <v>0</v>
      </c>
    </row>
    <row r="140" spans="1:6" s="119" customFormat="1" ht="14.25" customHeight="1">
      <c r="A140" s="122"/>
      <c r="B140" s="122"/>
      <c r="C140" s="123" t="s">
        <v>655</v>
      </c>
      <c r="D140" s="120">
        <v>136051</v>
      </c>
      <c r="E140" s="120">
        <v>129450</v>
      </c>
      <c r="F140" s="120"/>
    </row>
    <row r="141" spans="1:6" s="119" customFormat="1" ht="14.25" customHeight="1">
      <c r="A141" s="122" t="s">
        <v>162</v>
      </c>
      <c r="B141" s="122" t="s">
        <v>164</v>
      </c>
      <c r="C141" s="123" t="s">
        <v>661</v>
      </c>
      <c r="D141" s="120">
        <v>0</v>
      </c>
      <c r="E141" s="120">
        <v>4500</v>
      </c>
      <c r="F141" s="120"/>
    </row>
    <row r="142" spans="1:6" s="119" customFormat="1" ht="16.5" customHeight="1">
      <c r="A142" s="122" t="s">
        <v>612</v>
      </c>
      <c r="B142" s="122"/>
      <c r="C142" s="374" t="s">
        <v>613</v>
      </c>
      <c r="D142" s="118">
        <f>SUM(D143,D149,D151,D146)</f>
        <v>2052339</v>
      </c>
      <c r="E142" s="118">
        <f>SUM(E143,E149,E151,E146)</f>
        <v>5891700</v>
      </c>
      <c r="F142" s="118">
        <f>SUM(F143,F149,F151,F146)</f>
        <v>0</v>
      </c>
    </row>
    <row r="143" spans="1:6" s="119" customFormat="1" ht="14.25" customHeight="1">
      <c r="A143" s="122"/>
      <c r="B143" s="122" t="s">
        <v>695</v>
      </c>
      <c r="C143" s="374" t="s">
        <v>696</v>
      </c>
      <c r="D143" s="118">
        <f>SUM(D144:D145)</f>
        <v>1095342</v>
      </c>
      <c r="E143" s="118">
        <f>SUM(E145)</f>
        <v>4912000</v>
      </c>
      <c r="F143" s="118">
        <f>SUM(F145)</f>
        <v>0</v>
      </c>
    </row>
    <row r="144" spans="1:6" s="119" customFormat="1" ht="14.25" customHeight="1">
      <c r="A144" s="122"/>
      <c r="B144" s="122"/>
      <c r="C144" s="123" t="s">
        <v>655</v>
      </c>
      <c r="D144" s="120">
        <v>3342</v>
      </c>
      <c r="E144" s="120">
        <v>0</v>
      </c>
      <c r="F144" s="118"/>
    </row>
    <row r="145" spans="1:6" s="119" customFormat="1" ht="14.25" customHeight="1">
      <c r="A145" s="122"/>
      <c r="B145" s="122"/>
      <c r="C145" s="123" t="s">
        <v>174</v>
      </c>
      <c r="D145" s="120">
        <v>1092000</v>
      </c>
      <c r="E145" s="120">
        <v>4912000</v>
      </c>
      <c r="F145" s="120"/>
    </row>
    <row r="146" spans="1:6" s="119" customFormat="1" ht="15">
      <c r="A146" s="122"/>
      <c r="B146" s="122" t="s">
        <v>614</v>
      </c>
      <c r="C146" s="374" t="s">
        <v>615</v>
      </c>
      <c r="D146" s="118">
        <f>SUM(D147:D147)</f>
        <v>27997</v>
      </c>
      <c r="E146" s="118">
        <f>SUM(E147:E147)</f>
        <v>4500</v>
      </c>
      <c r="F146" s="118">
        <f>SUM(F147:F147)</f>
        <v>0</v>
      </c>
    </row>
    <row r="147" spans="1:6" s="119" customFormat="1" ht="14.25" customHeight="1">
      <c r="A147" s="122"/>
      <c r="B147" s="122"/>
      <c r="C147" s="123" t="s">
        <v>697</v>
      </c>
      <c r="D147" s="120">
        <v>27997</v>
      </c>
      <c r="E147" s="120">
        <v>4500</v>
      </c>
      <c r="F147" s="120"/>
    </row>
    <row r="148" spans="1:6" s="119" customFormat="1" ht="14.25" customHeight="1">
      <c r="A148" s="122"/>
      <c r="B148" s="122"/>
      <c r="C148" s="123" t="s">
        <v>661</v>
      </c>
      <c r="D148" s="120">
        <v>27325</v>
      </c>
      <c r="E148" s="120">
        <v>0</v>
      </c>
      <c r="F148" s="120"/>
    </row>
    <row r="149" spans="1:6" s="119" customFormat="1" ht="48" customHeight="1">
      <c r="A149" s="122"/>
      <c r="B149" s="122" t="s">
        <v>617</v>
      </c>
      <c r="C149" s="374" t="s">
        <v>698</v>
      </c>
      <c r="D149" s="118">
        <f>SUM(D150)</f>
        <v>924000</v>
      </c>
      <c r="E149" s="118">
        <f>SUM(E150)</f>
        <v>967000</v>
      </c>
      <c r="F149" s="118">
        <f>SUM(F150)</f>
        <v>0</v>
      </c>
    </row>
    <row r="150" spans="1:6" s="119" customFormat="1" ht="14.25" customHeight="1">
      <c r="A150" s="122"/>
      <c r="B150" s="122"/>
      <c r="C150" s="123" t="s">
        <v>697</v>
      </c>
      <c r="D150" s="120">
        <v>924000</v>
      </c>
      <c r="E150" s="120">
        <v>967000</v>
      </c>
      <c r="F150" s="389"/>
    </row>
    <row r="151" spans="1:6" s="119" customFormat="1" ht="15">
      <c r="A151" s="391"/>
      <c r="B151" s="122" t="s">
        <v>699</v>
      </c>
      <c r="C151" s="374" t="s">
        <v>632</v>
      </c>
      <c r="D151" s="118">
        <f>D152</f>
        <v>5000</v>
      </c>
      <c r="E151" s="118">
        <f>E152</f>
        <v>8200</v>
      </c>
      <c r="F151" s="118">
        <f>F152</f>
        <v>0</v>
      </c>
    </row>
    <row r="152" spans="1:6" s="119" customFormat="1" ht="14.25" customHeight="1">
      <c r="A152" s="391"/>
      <c r="B152" s="122"/>
      <c r="C152" s="123" t="s">
        <v>664</v>
      </c>
      <c r="D152" s="120">
        <v>5000</v>
      </c>
      <c r="E152" s="120">
        <v>8200</v>
      </c>
      <c r="F152" s="120"/>
    </row>
    <row r="153" spans="1:6" s="119" customFormat="1" ht="14.25" customHeight="1">
      <c r="A153" s="391"/>
      <c r="B153" s="122"/>
      <c r="C153" s="123" t="s">
        <v>657</v>
      </c>
      <c r="D153" s="120">
        <v>5000</v>
      </c>
      <c r="E153" s="120">
        <v>8200</v>
      </c>
      <c r="F153" s="120"/>
    </row>
    <row r="154" spans="1:6" s="119" customFormat="1" ht="18.75" customHeight="1">
      <c r="A154" s="122" t="s">
        <v>619</v>
      </c>
      <c r="B154" s="122"/>
      <c r="C154" s="117" t="s">
        <v>700</v>
      </c>
      <c r="D154" s="118">
        <f>SUM(D155,D159,D163,D166,D171,D175,D178,D169)</f>
        <v>7780726</v>
      </c>
      <c r="E154" s="118">
        <f>SUM(E155,E159,E163,E166,E171,E175,E178,E169)</f>
        <v>7321003</v>
      </c>
      <c r="F154" s="118">
        <f>SUM(F155,F159,F163,F166,F171,F175,F178,F169)</f>
        <v>0</v>
      </c>
    </row>
    <row r="155" spans="1:6" s="119" customFormat="1" ht="15">
      <c r="A155" s="122"/>
      <c r="B155" s="122" t="s">
        <v>621</v>
      </c>
      <c r="C155" s="374" t="s">
        <v>701</v>
      </c>
      <c r="D155" s="118">
        <f>SUM(D156)</f>
        <v>916182</v>
      </c>
      <c r="E155" s="118">
        <v>1095052</v>
      </c>
      <c r="F155" s="118">
        <f>SUM(F156)</f>
        <v>0</v>
      </c>
    </row>
    <row r="156" spans="1:6" s="119" customFormat="1" ht="14.25" customHeight="1">
      <c r="A156" s="122"/>
      <c r="B156" s="122"/>
      <c r="C156" s="123" t="s">
        <v>655</v>
      </c>
      <c r="D156" s="120">
        <v>916182</v>
      </c>
      <c r="E156" s="120">
        <v>1095052</v>
      </c>
      <c r="F156" s="120"/>
    </row>
    <row r="157" spans="1:6" s="119" customFormat="1" ht="14.25" customHeight="1">
      <c r="A157" s="122"/>
      <c r="B157" s="122"/>
      <c r="C157" s="123" t="s">
        <v>661</v>
      </c>
      <c r="D157" s="120">
        <v>65470</v>
      </c>
      <c r="E157" s="120">
        <v>92672</v>
      </c>
      <c r="F157" s="120"/>
    </row>
    <row r="158" spans="1:6" s="119" customFormat="1" ht="14.25" customHeight="1">
      <c r="A158" s="122"/>
      <c r="B158" s="122"/>
      <c r="C158" s="123" t="s">
        <v>687</v>
      </c>
      <c r="D158" s="455">
        <v>750479</v>
      </c>
      <c r="E158" s="120">
        <v>879200</v>
      </c>
      <c r="F158" s="120"/>
    </row>
    <row r="159" spans="1:6" s="119" customFormat="1" ht="14.25" customHeight="1">
      <c r="A159" s="122"/>
      <c r="B159" s="122" t="s">
        <v>623</v>
      </c>
      <c r="C159" s="374" t="s">
        <v>624</v>
      </c>
      <c r="D159" s="118">
        <f>SUM(D160,D162)</f>
        <v>4470831</v>
      </c>
      <c r="E159" s="118">
        <f>SUM(E160,E162)</f>
        <v>3773168</v>
      </c>
      <c r="F159" s="118">
        <f>SUM(F160,F162)</f>
        <v>0</v>
      </c>
    </row>
    <row r="160" spans="1:6" s="119" customFormat="1" ht="14.25" customHeight="1">
      <c r="A160" s="122"/>
      <c r="B160" s="122"/>
      <c r="C160" s="123" t="s">
        <v>655</v>
      </c>
      <c r="D160" s="120">
        <v>4317493</v>
      </c>
      <c r="E160" s="120">
        <v>3773168</v>
      </c>
      <c r="F160" s="120"/>
    </row>
    <row r="161" spans="1:6" s="119" customFormat="1" ht="14.25" customHeight="1">
      <c r="A161" s="122"/>
      <c r="B161" s="122"/>
      <c r="C161" s="123" t="s">
        <v>661</v>
      </c>
      <c r="D161" s="120">
        <v>2599872</v>
      </c>
      <c r="E161" s="120">
        <v>2690267</v>
      </c>
      <c r="F161" s="120"/>
    </row>
    <row r="162" spans="1:6" s="119" customFormat="1" ht="14.25" customHeight="1">
      <c r="A162" s="122"/>
      <c r="B162" s="122"/>
      <c r="C162" s="123" t="s">
        <v>658</v>
      </c>
      <c r="D162" s="120">
        <v>153338</v>
      </c>
      <c r="E162" s="120">
        <v>0</v>
      </c>
      <c r="F162" s="120"/>
    </row>
    <row r="163" spans="1:6" s="119" customFormat="1" ht="14.25" customHeight="1">
      <c r="A163" s="122"/>
      <c r="B163" s="122" t="s">
        <v>625</v>
      </c>
      <c r="C163" s="374" t="s">
        <v>626</v>
      </c>
      <c r="D163" s="118">
        <f>SUM(D164)</f>
        <v>236880</v>
      </c>
      <c r="E163" s="118">
        <f>SUM(E164)</f>
        <v>324000</v>
      </c>
      <c r="F163" s="118">
        <f>SUM(F164)</f>
        <v>0</v>
      </c>
    </row>
    <row r="164" spans="1:6" s="119" customFormat="1" ht="14.25" customHeight="1">
      <c r="A164" s="122"/>
      <c r="B164" s="122"/>
      <c r="C164" s="123" t="s">
        <v>655</v>
      </c>
      <c r="D164" s="120">
        <v>236880</v>
      </c>
      <c r="E164" s="120">
        <v>324000</v>
      </c>
      <c r="F164" s="387"/>
    </row>
    <row r="165" spans="1:6" s="119" customFormat="1" ht="14.25" customHeight="1">
      <c r="A165" s="122"/>
      <c r="B165" s="122"/>
      <c r="C165" s="123" t="s">
        <v>661</v>
      </c>
      <c r="D165" s="120">
        <v>173362</v>
      </c>
      <c r="E165" s="120">
        <v>181223</v>
      </c>
      <c r="F165" s="387"/>
    </row>
    <row r="166" spans="1:6" s="119" customFormat="1" ht="14.25" customHeight="1">
      <c r="A166" s="122"/>
      <c r="B166" s="122" t="s">
        <v>627</v>
      </c>
      <c r="C166" s="374" t="s">
        <v>628</v>
      </c>
      <c r="D166" s="118">
        <f>SUM(D167)</f>
        <v>1647659</v>
      </c>
      <c r="E166" s="118">
        <f>SUM(E167)</f>
        <v>1667000</v>
      </c>
      <c r="F166" s="118">
        <f>SUM(F167)</f>
        <v>0</v>
      </c>
    </row>
    <row r="167" spans="1:6" s="119" customFormat="1" ht="14.25" customHeight="1">
      <c r="A167" s="122"/>
      <c r="B167" s="122"/>
      <c r="C167" s="123" t="s">
        <v>655</v>
      </c>
      <c r="D167" s="120">
        <v>1647659</v>
      </c>
      <c r="E167" s="120">
        <f>1767000-100000</f>
        <v>1667000</v>
      </c>
      <c r="F167" s="120"/>
    </row>
    <row r="168" spans="1:6" s="119" customFormat="1" ht="14.25" customHeight="1">
      <c r="A168" s="122"/>
      <c r="B168" s="122"/>
      <c r="C168" s="123" t="s">
        <v>687</v>
      </c>
      <c r="D168" s="120">
        <f>5836+5000</f>
        <v>10836</v>
      </c>
      <c r="E168" s="120">
        <f>11700+5000</f>
        <v>16700</v>
      </c>
      <c r="F168" s="120"/>
    </row>
    <row r="169" spans="1:6" s="119" customFormat="1" ht="36">
      <c r="A169" s="122"/>
      <c r="B169" s="122" t="s">
        <v>629</v>
      </c>
      <c r="C169" s="374" t="s">
        <v>730</v>
      </c>
      <c r="D169" s="118">
        <f>SUM(D170)</f>
        <v>10690</v>
      </c>
      <c r="E169" s="118">
        <f>SUM(E170)</f>
        <v>0</v>
      </c>
      <c r="F169" s="118">
        <f>SUM(F170)</f>
        <v>0</v>
      </c>
    </row>
    <row r="170" spans="1:6" s="119" customFormat="1" ht="14.25" customHeight="1">
      <c r="A170" s="122"/>
      <c r="B170" s="122"/>
      <c r="C170" s="123" t="s">
        <v>651</v>
      </c>
      <c r="D170" s="120">
        <v>10690</v>
      </c>
      <c r="E170" s="120">
        <v>0</v>
      </c>
      <c r="F170" s="120"/>
    </row>
    <row r="171" spans="1:6" s="119" customFormat="1" ht="14.25" customHeight="1">
      <c r="A171" s="122"/>
      <c r="B171" s="122" t="s">
        <v>630</v>
      </c>
      <c r="C171" s="374" t="s">
        <v>702</v>
      </c>
      <c r="D171" s="118">
        <f>SUM(D172,D174)</f>
        <v>342584</v>
      </c>
      <c r="E171" s="118">
        <f>SUM(E172,E174)</f>
        <v>451783</v>
      </c>
      <c r="F171" s="118">
        <f>SUM(F172,F174)</f>
        <v>0</v>
      </c>
    </row>
    <row r="172" spans="1:6" s="125" customFormat="1" ht="12.75">
      <c r="A172" s="393"/>
      <c r="B172" s="393"/>
      <c r="C172" s="123" t="s">
        <v>655</v>
      </c>
      <c r="D172" s="124">
        <v>342584</v>
      </c>
      <c r="E172" s="124">
        <v>381783</v>
      </c>
      <c r="F172" s="124"/>
    </row>
    <row r="173" spans="1:6" s="119" customFormat="1" ht="14.25" customHeight="1">
      <c r="A173" s="122"/>
      <c r="B173" s="122"/>
      <c r="C173" s="123" t="s">
        <v>661</v>
      </c>
      <c r="D173" s="124">
        <v>230807</v>
      </c>
      <c r="E173" s="124">
        <v>267587</v>
      </c>
      <c r="F173" s="124"/>
    </row>
    <row r="174" spans="1:6" s="119" customFormat="1" ht="16.5" customHeight="1">
      <c r="A174" s="122"/>
      <c r="B174" s="122"/>
      <c r="C174" s="123" t="s">
        <v>658</v>
      </c>
      <c r="D174" s="124">
        <v>0</v>
      </c>
      <c r="E174" s="124">
        <v>70000</v>
      </c>
      <c r="F174" s="124"/>
    </row>
    <row r="175" spans="1:6" s="119" customFormat="1" ht="36">
      <c r="A175" s="391"/>
      <c r="B175" s="122" t="s">
        <v>703</v>
      </c>
      <c r="C175" s="374" t="s">
        <v>731</v>
      </c>
      <c r="D175" s="118">
        <f>SUM(D176)</f>
        <v>57400</v>
      </c>
      <c r="E175" s="118">
        <f>SUM(E176)</f>
        <v>10000</v>
      </c>
      <c r="F175" s="118">
        <f>SUM(F176)</f>
        <v>0</v>
      </c>
    </row>
    <row r="176" spans="1:6" s="119" customFormat="1" ht="14.25" customHeight="1">
      <c r="A176" s="391"/>
      <c r="B176" s="122"/>
      <c r="C176" s="123" t="s">
        <v>655</v>
      </c>
      <c r="D176" s="120">
        <v>57400</v>
      </c>
      <c r="E176" s="120">
        <v>10000</v>
      </c>
      <c r="F176" s="120"/>
    </row>
    <row r="177" spans="1:6" s="119" customFormat="1" ht="14.25" customHeight="1">
      <c r="A177" s="391"/>
      <c r="B177" s="122"/>
      <c r="C177" s="123" t="s">
        <v>661</v>
      </c>
      <c r="D177" s="120">
        <v>2200</v>
      </c>
      <c r="E177" s="120">
        <v>10000</v>
      </c>
      <c r="F177" s="120"/>
    </row>
    <row r="178" spans="1:6" s="119" customFormat="1" ht="15">
      <c r="A178" s="391"/>
      <c r="B178" s="122" t="s">
        <v>167</v>
      </c>
      <c r="C178" s="374" t="s">
        <v>632</v>
      </c>
      <c r="D178" s="118">
        <f>SUM(D179)</f>
        <v>98500</v>
      </c>
      <c r="E178" s="118">
        <f>SUM(E179)</f>
        <v>0</v>
      </c>
      <c r="F178" s="118">
        <f>SUM(F179)</f>
        <v>0</v>
      </c>
    </row>
    <row r="179" spans="1:6" s="119" customFormat="1" ht="14.25" customHeight="1">
      <c r="A179" s="391"/>
      <c r="B179" s="122"/>
      <c r="C179" s="123" t="s">
        <v>655</v>
      </c>
      <c r="D179" s="120">
        <v>98500</v>
      </c>
      <c r="E179" s="120">
        <v>0</v>
      </c>
      <c r="F179" s="120"/>
    </row>
    <row r="180" spans="1:6" s="119" customFormat="1" ht="14.25" customHeight="1">
      <c r="A180" s="391"/>
      <c r="B180" s="122"/>
      <c r="C180" s="123" t="s">
        <v>661</v>
      </c>
      <c r="D180" s="120">
        <v>14600</v>
      </c>
      <c r="E180" s="120">
        <v>0</v>
      </c>
      <c r="F180" s="120"/>
    </row>
    <row r="181" spans="1:6" s="119" customFormat="1" ht="30" customHeight="1">
      <c r="A181" s="122" t="s">
        <v>704</v>
      </c>
      <c r="B181" s="122"/>
      <c r="C181" s="117" t="s">
        <v>633</v>
      </c>
      <c r="D181" s="118">
        <f>SUM(D182,D185)</f>
        <v>1823081</v>
      </c>
      <c r="E181" s="118">
        <f>SUM(E182,E185)</f>
        <v>1492121</v>
      </c>
      <c r="F181" s="118" t="e">
        <f>SUM(#REF!,F182,F185)</f>
        <v>#REF!</v>
      </c>
    </row>
    <row r="182" spans="1:6" s="119" customFormat="1" ht="14.25" customHeight="1">
      <c r="A182" s="122"/>
      <c r="B182" s="122" t="s">
        <v>634</v>
      </c>
      <c r="C182" s="374" t="s">
        <v>635</v>
      </c>
      <c r="D182" s="118">
        <f>SUM(D183)</f>
        <v>1821481</v>
      </c>
      <c r="E182" s="118">
        <f>SUM(E183)</f>
        <v>1492121</v>
      </c>
      <c r="F182" s="118">
        <f>SUM(F183)</f>
        <v>0</v>
      </c>
    </row>
    <row r="183" spans="1:6" s="119" customFormat="1" ht="15" customHeight="1">
      <c r="A183" s="122"/>
      <c r="B183" s="122"/>
      <c r="C183" s="123" t="s">
        <v>655</v>
      </c>
      <c r="D183" s="120">
        <v>1821481</v>
      </c>
      <c r="E183" s="120">
        <v>1492121</v>
      </c>
      <c r="F183" s="120"/>
    </row>
    <row r="184" spans="1:6" s="119" customFormat="1" ht="15" customHeight="1">
      <c r="A184" s="122"/>
      <c r="B184" s="122"/>
      <c r="C184" s="123" t="s">
        <v>661</v>
      </c>
      <c r="D184" s="120">
        <v>1307530</v>
      </c>
      <c r="E184" s="120">
        <v>1255788</v>
      </c>
      <c r="F184" s="120"/>
    </row>
    <row r="185" spans="1:6" s="119" customFormat="1" ht="15">
      <c r="A185" s="391"/>
      <c r="B185" s="122" t="s">
        <v>127</v>
      </c>
      <c r="C185" s="374" t="s">
        <v>128</v>
      </c>
      <c r="D185" s="118">
        <f>SUM(D186)</f>
        <v>1600</v>
      </c>
      <c r="E185" s="118">
        <f>SUM(E186)</f>
        <v>0</v>
      </c>
      <c r="F185" s="118">
        <f>SUM(F186)</f>
        <v>0</v>
      </c>
    </row>
    <row r="186" spans="1:6" s="119" customFormat="1" ht="14.25" customHeight="1">
      <c r="A186" s="391"/>
      <c r="B186" s="122"/>
      <c r="C186" s="123" t="s">
        <v>655</v>
      </c>
      <c r="D186" s="120">
        <v>1600</v>
      </c>
      <c r="E186" s="120">
        <v>0</v>
      </c>
      <c r="F186" s="120"/>
    </row>
    <row r="187" spans="1:6" s="119" customFormat="1" ht="14.25" customHeight="1">
      <c r="A187" s="391"/>
      <c r="B187" s="122"/>
      <c r="C187" s="123" t="s">
        <v>661</v>
      </c>
      <c r="D187" s="120">
        <v>1600</v>
      </c>
      <c r="E187" s="120">
        <v>0</v>
      </c>
      <c r="F187" s="120"/>
    </row>
    <row r="188" spans="1:6" s="69" customFormat="1" ht="29.25" customHeight="1">
      <c r="A188" s="122" t="s">
        <v>636</v>
      </c>
      <c r="B188" s="122"/>
      <c r="C188" s="117" t="s">
        <v>637</v>
      </c>
      <c r="D188" s="118">
        <f>SUM(D189,D192,D195,D198,D201,D205,D209,D215,D213)</f>
        <v>5010705</v>
      </c>
      <c r="E188" s="118">
        <f>SUM(E189,E192,E195,E198,E201,E205,E209,E215,E213)</f>
        <v>4439857</v>
      </c>
      <c r="F188" s="118">
        <f>SUM(F189,F192,F195,F198,F201,F205,F209,F215,F213)</f>
        <v>0</v>
      </c>
    </row>
    <row r="189" spans="1:6" s="69" customFormat="1" ht="14.25" customHeight="1">
      <c r="A189" s="122"/>
      <c r="B189" s="122" t="s">
        <v>705</v>
      </c>
      <c r="C189" s="374" t="s">
        <v>706</v>
      </c>
      <c r="D189" s="118">
        <f>SUM(D190)</f>
        <v>89868</v>
      </c>
      <c r="E189" s="118">
        <f>SUM(E190)</f>
        <v>69346</v>
      </c>
      <c r="F189" s="118">
        <f>SUM(F190)</f>
        <v>0</v>
      </c>
    </row>
    <row r="190" spans="1:6" s="69" customFormat="1" ht="14.25" customHeight="1">
      <c r="A190" s="122"/>
      <c r="B190" s="122"/>
      <c r="C190" s="123" t="s">
        <v>655</v>
      </c>
      <c r="D190" s="120">
        <v>89868</v>
      </c>
      <c r="E190" s="120">
        <f>69346</f>
        <v>69346</v>
      </c>
      <c r="F190" s="120"/>
    </row>
    <row r="191" spans="1:6" s="69" customFormat="1" ht="14.25" customHeight="1">
      <c r="A191" s="122"/>
      <c r="B191" s="122"/>
      <c r="C191" s="123" t="s">
        <v>661</v>
      </c>
      <c r="D191" s="120">
        <v>81353</v>
      </c>
      <c r="E191" s="120">
        <v>62890</v>
      </c>
      <c r="F191" s="120"/>
    </row>
    <row r="192" spans="1:6" s="69" customFormat="1" ht="24" customHeight="1">
      <c r="A192" s="122"/>
      <c r="B192" s="122" t="s">
        <v>638</v>
      </c>
      <c r="C192" s="374" t="s">
        <v>707</v>
      </c>
      <c r="D192" s="118">
        <f>SUM(D193)</f>
        <v>1287451</v>
      </c>
      <c r="E192" s="118">
        <f>SUM(E193)</f>
        <v>637003</v>
      </c>
      <c r="F192" s="118">
        <f>SUM(F193)</f>
        <v>0</v>
      </c>
    </row>
    <row r="193" spans="1:6" s="69" customFormat="1" ht="14.25" customHeight="1">
      <c r="A193" s="122"/>
      <c r="B193" s="122"/>
      <c r="C193" s="123" t="s">
        <v>655</v>
      </c>
      <c r="D193" s="120">
        <v>1287451</v>
      </c>
      <c r="E193" s="120">
        <v>637003</v>
      </c>
      <c r="F193" s="120"/>
    </row>
    <row r="194" spans="1:6" s="69" customFormat="1" ht="14.25" customHeight="1">
      <c r="A194" s="122"/>
      <c r="B194" s="122"/>
      <c r="C194" s="123" t="s">
        <v>661</v>
      </c>
      <c r="D194" s="120">
        <v>498373</v>
      </c>
      <c r="E194" s="120">
        <v>517486</v>
      </c>
      <c r="F194" s="120"/>
    </row>
    <row r="195" spans="1:6" s="69" customFormat="1" ht="35.25" customHeight="1">
      <c r="A195" s="122"/>
      <c r="B195" s="122" t="s">
        <v>708</v>
      </c>
      <c r="C195" s="374" t="s">
        <v>709</v>
      </c>
      <c r="D195" s="118">
        <f>SUM(D196)</f>
        <v>533656</v>
      </c>
      <c r="E195" s="118">
        <f>SUM(E196)</f>
        <v>617354</v>
      </c>
      <c r="F195" s="118">
        <f>SUM(F196)</f>
        <v>0</v>
      </c>
    </row>
    <row r="196" spans="1:6" s="69" customFormat="1" ht="14.25" customHeight="1">
      <c r="A196" s="122"/>
      <c r="B196" s="122"/>
      <c r="C196" s="123" t="s">
        <v>655</v>
      </c>
      <c r="D196" s="120">
        <v>533656</v>
      </c>
      <c r="E196" s="120">
        <v>617354</v>
      </c>
      <c r="F196" s="120"/>
    </row>
    <row r="197" spans="1:6" s="69" customFormat="1" ht="14.25" customHeight="1">
      <c r="A197" s="122"/>
      <c r="B197" s="122"/>
      <c r="C197" s="123" t="s">
        <v>661</v>
      </c>
      <c r="D197" s="120">
        <v>447972</v>
      </c>
      <c r="E197" s="120">
        <v>486564</v>
      </c>
      <c r="F197" s="120"/>
    </row>
    <row r="198" spans="1:6" s="69" customFormat="1" ht="15">
      <c r="A198" s="122"/>
      <c r="B198" s="122" t="s">
        <v>710</v>
      </c>
      <c r="C198" s="374" t="s">
        <v>711</v>
      </c>
      <c r="D198" s="118">
        <f>SUM(D199)</f>
        <v>411797</v>
      </c>
      <c r="E198" s="118">
        <f>SUM(E199)</f>
        <v>322559</v>
      </c>
      <c r="F198" s="118">
        <f>SUM(F199)</f>
        <v>0</v>
      </c>
    </row>
    <row r="199" spans="1:6" s="69" customFormat="1" ht="14.25" customHeight="1">
      <c r="A199" s="122"/>
      <c r="B199" s="122"/>
      <c r="C199" s="123" t="s">
        <v>655</v>
      </c>
      <c r="D199" s="120">
        <v>411797</v>
      </c>
      <c r="E199" s="120">
        <v>322559</v>
      </c>
      <c r="F199" s="120"/>
    </row>
    <row r="200" spans="1:6" s="69" customFormat="1" ht="14.25" customHeight="1">
      <c r="A200" s="122"/>
      <c r="B200" s="122"/>
      <c r="C200" s="123" t="s">
        <v>661</v>
      </c>
      <c r="D200" s="120">
        <v>255977</v>
      </c>
      <c r="E200" s="120">
        <v>261095</v>
      </c>
      <c r="F200" s="120"/>
    </row>
    <row r="201" spans="1:6" s="69" customFormat="1" ht="14.25" customHeight="1">
      <c r="A201" s="122"/>
      <c r="B201" s="122" t="s">
        <v>712</v>
      </c>
      <c r="C201" s="374" t="s">
        <v>713</v>
      </c>
      <c r="D201" s="118">
        <f>SUM(D202,D204)</f>
        <v>1378865</v>
      </c>
      <c r="E201" s="118">
        <f>SUM(E202,E204)</f>
        <v>1481713</v>
      </c>
      <c r="F201" s="118">
        <f>SUM(F202,F204)</f>
        <v>0</v>
      </c>
    </row>
    <row r="202" spans="1:6" s="69" customFormat="1" ht="14.25" customHeight="1">
      <c r="A202" s="122"/>
      <c r="B202" s="122"/>
      <c r="C202" s="123" t="s">
        <v>655</v>
      </c>
      <c r="D202" s="120">
        <v>1378865</v>
      </c>
      <c r="E202" s="120">
        <v>1481713</v>
      </c>
      <c r="F202" s="120"/>
    </row>
    <row r="203" spans="1:6" s="69" customFormat="1" ht="14.25" customHeight="1">
      <c r="A203" s="122"/>
      <c r="B203" s="122"/>
      <c r="C203" s="123" t="s">
        <v>661</v>
      </c>
      <c r="D203" s="120">
        <v>1017728</v>
      </c>
      <c r="E203" s="120">
        <v>1031567</v>
      </c>
      <c r="F203" s="120"/>
    </row>
    <row r="204" spans="1:6" s="69" customFormat="1" ht="14.25" customHeight="1">
      <c r="A204" s="122"/>
      <c r="B204" s="122"/>
      <c r="C204" s="123" t="s">
        <v>658</v>
      </c>
      <c r="D204" s="120">
        <v>0</v>
      </c>
      <c r="E204" s="120">
        <v>0</v>
      </c>
      <c r="F204" s="120"/>
    </row>
    <row r="205" spans="1:6" s="69" customFormat="1" ht="14.25" customHeight="1">
      <c r="A205" s="122"/>
      <c r="B205" s="122" t="s">
        <v>640</v>
      </c>
      <c r="C205" s="374" t="s">
        <v>641</v>
      </c>
      <c r="D205" s="118">
        <f>SUM(D206)</f>
        <v>1104167</v>
      </c>
      <c r="E205" s="118">
        <f>SUM(E206)</f>
        <v>1117120</v>
      </c>
      <c r="F205" s="118">
        <f>SUM(F206)</f>
        <v>0</v>
      </c>
    </row>
    <row r="206" spans="1:6" s="69" customFormat="1" ht="14.25" customHeight="1">
      <c r="A206" s="122"/>
      <c r="B206" s="122"/>
      <c r="C206" s="123" t="s">
        <v>655</v>
      </c>
      <c r="D206" s="120">
        <v>1104167</v>
      </c>
      <c r="E206" s="120">
        <v>1117120</v>
      </c>
      <c r="F206" s="120"/>
    </row>
    <row r="207" spans="1:6" s="69" customFormat="1" ht="14.25" customHeight="1">
      <c r="A207" s="122"/>
      <c r="B207" s="122"/>
      <c r="C207" s="123" t="s">
        <v>661</v>
      </c>
      <c r="D207" s="120">
        <v>6600</v>
      </c>
      <c r="E207" s="120">
        <v>5400</v>
      </c>
      <c r="F207" s="120"/>
    </row>
    <row r="208" spans="1:6" s="69" customFormat="1" ht="14.25" customHeight="1">
      <c r="A208" s="122"/>
      <c r="B208" s="122"/>
      <c r="C208" s="123" t="s">
        <v>687</v>
      </c>
      <c r="D208" s="120">
        <v>10000</v>
      </c>
      <c r="E208" s="120">
        <v>12000</v>
      </c>
      <c r="F208" s="120"/>
    </row>
    <row r="209" spans="1:6" s="69" customFormat="1" ht="14.25" customHeight="1">
      <c r="A209" s="122"/>
      <c r="B209" s="122" t="s">
        <v>642</v>
      </c>
      <c r="C209" s="374" t="s">
        <v>714</v>
      </c>
      <c r="D209" s="118">
        <f>SUM(D210)</f>
        <v>186290</v>
      </c>
      <c r="E209" s="118">
        <f>SUM(E210)</f>
        <v>176956</v>
      </c>
      <c r="F209" s="118">
        <f>SUM(F210)</f>
        <v>0</v>
      </c>
    </row>
    <row r="210" spans="1:6" s="69" customFormat="1" ht="14.25" customHeight="1">
      <c r="A210" s="122"/>
      <c r="B210" s="122"/>
      <c r="C210" s="123" t="s">
        <v>655</v>
      </c>
      <c r="D210" s="120">
        <v>186290</v>
      </c>
      <c r="E210" s="120">
        <v>176956</v>
      </c>
      <c r="F210" s="120"/>
    </row>
    <row r="211" spans="1:6" s="69" customFormat="1" ht="14.25" customHeight="1">
      <c r="A211" s="122"/>
      <c r="B211" s="122"/>
      <c r="C211" s="123" t="s">
        <v>661</v>
      </c>
      <c r="D211" s="120">
        <v>37129</v>
      </c>
      <c r="E211" s="120">
        <v>101068</v>
      </c>
      <c r="F211" s="120"/>
    </row>
    <row r="212" spans="1:6" s="69" customFormat="1" ht="14.25" customHeight="1">
      <c r="A212" s="122"/>
      <c r="B212" s="122"/>
      <c r="C212" s="123" t="s">
        <v>687</v>
      </c>
      <c r="D212" s="120">
        <v>110000</v>
      </c>
      <c r="E212" s="120">
        <v>0</v>
      </c>
      <c r="F212" s="120"/>
    </row>
    <row r="213" spans="1:6" s="69" customFormat="1" ht="15">
      <c r="A213" s="122"/>
      <c r="B213" s="122" t="s">
        <v>715</v>
      </c>
      <c r="C213" s="374" t="s">
        <v>694</v>
      </c>
      <c r="D213" s="118">
        <f>SUM(D214)</f>
        <v>11378</v>
      </c>
      <c r="E213" s="118">
        <f>SUM(E214)</f>
        <v>11083</v>
      </c>
      <c r="F213" s="118">
        <f>SUM(F214)</f>
        <v>0</v>
      </c>
    </row>
    <row r="214" spans="1:6" s="69" customFormat="1" ht="14.25" customHeight="1">
      <c r="A214" s="122"/>
      <c r="B214" s="122"/>
      <c r="C214" s="123" t="s">
        <v>651</v>
      </c>
      <c r="D214" s="120">
        <v>11378</v>
      </c>
      <c r="E214" s="120">
        <v>11083</v>
      </c>
      <c r="F214" s="120"/>
    </row>
    <row r="215" spans="1:6" s="69" customFormat="1" ht="14.25" customHeight="1">
      <c r="A215" s="122"/>
      <c r="B215" s="122" t="s">
        <v>716</v>
      </c>
      <c r="C215" s="374" t="s">
        <v>632</v>
      </c>
      <c r="D215" s="118">
        <f>SUM(D216)</f>
        <v>7233</v>
      </c>
      <c r="E215" s="118">
        <f>SUM(E216)</f>
        <v>6723</v>
      </c>
      <c r="F215" s="118">
        <f>SUM(F216)</f>
        <v>0</v>
      </c>
    </row>
    <row r="216" spans="1:6" s="69" customFormat="1" ht="14.25" customHeight="1">
      <c r="A216" s="122"/>
      <c r="B216" s="122"/>
      <c r="C216" s="123" t="s">
        <v>651</v>
      </c>
      <c r="D216" s="120">
        <v>7233</v>
      </c>
      <c r="E216" s="120">
        <v>6723</v>
      </c>
      <c r="F216" s="120"/>
    </row>
    <row r="217" spans="1:6" s="119" customFormat="1" ht="45.75" customHeight="1">
      <c r="A217" s="122" t="s">
        <v>717</v>
      </c>
      <c r="B217" s="122"/>
      <c r="C217" s="117" t="s">
        <v>718</v>
      </c>
      <c r="D217" s="118">
        <f>SUM(D218,D221)</f>
        <v>97000</v>
      </c>
      <c r="E217" s="118">
        <f>SUM(E218,E221)</f>
        <v>80000</v>
      </c>
      <c r="F217" s="118">
        <f>SUM(F218,F221)</f>
        <v>0</v>
      </c>
    </row>
    <row r="218" spans="1:6" s="119" customFormat="1" ht="12.75" customHeight="1">
      <c r="A218" s="122"/>
      <c r="B218" s="122" t="s">
        <v>719</v>
      </c>
      <c r="C218" s="374" t="s">
        <v>720</v>
      </c>
      <c r="D218" s="118">
        <f>SUM(D219)</f>
        <v>40000</v>
      </c>
      <c r="E218" s="118">
        <f>SUM(E219)</f>
        <v>40000</v>
      </c>
      <c r="F218" s="118">
        <f>SUM(F219)</f>
        <v>0</v>
      </c>
    </row>
    <row r="219" spans="1:6" s="119" customFormat="1" ht="12.75" customHeight="1">
      <c r="A219" s="122"/>
      <c r="B219" s="122"/>
      <c r="C219" s="123" t="s">
        <v>655</v>
      </c>
      <c r="D219" s="120">
        <v>40000</v>
      </c>
      <c r="E219" s="120">
        <v>40000</v>
      </c>
      <c r="F219" s="120"/>
    </row>
    <row r="220" spans="1:6" s="119" customFormat="1" ht="12.75" customHeight="1">
      <c r="A220" s="122"/>
      <c r="B220" s="122"/>
      <c r="C220" s="123" t="s">
        <v>687</v>
      </c>
      <c r="D220" s="120">
        <v>40000</v>
      </c>
      <c r="E220" s="120">
        <v>40000</v>
      </c>
      <c r="F220" s="120"/>
    </row>
    <row r="221" spans="1:6" s="119" customFormat="1" ht="12.75" customHeight="1">
      <c r="A221" s="122"/>
      <c r="B221" s="122" t="s">
        <v>721</v>
      </c>
      <c r="C221" s="374" t="s">
        <v>632</v>
      </c>
      <c r="D221" s="118">
        <f>SUM(D222)</f>
        <v>57000</v>
      </c>
      <c r="E221" s="118">
        <f>SUM(E222)</f>
        <v>40000</v>
      </c>
      <c r="F221" s="118">
        <f>SUM(F222)</f>
        <v>0</v>
      </c>
    </row>
    <row r="222" spans="1:6" s="119" customFormat="1" ht="12.75" customHeight="1">
      <c r="A222" s="122"/>
      <c r="B222" s="122"/>
      <c r="C222" s="123" t="s">
        <v>655</v>
      </c>
      <c r="D222" s="120">
        <v>57000</v>
      </c>
      <c r="E222" s="120">
        <v>40000</v>
      </c>
      <c r="F222" s="120"/>
    </row>
    <row r="223" spans="1:6" s="119" customFormat="1" ht="12.75" customHeight="1">
      <c r="A223" s="122"/>
      <c r="B223" s="122"/>
      <c r="C223" s="123" t="s">
        <v>661</v>
      </c>
      <c r="D223" s="120">
        <v>350</v>
      </c>
      <c r="E223" s="120">
        <v>0</v>
      </c>
      <c r="F223" s="120"/>
    </row>
    <row r="224" spans="1:6" s="119" customFormat="1" ht="12.75" customHeight="1">
      <c r="A224" s="122"/>
      <c r="B224" s="122"/>
      <c r="C224" s="123" t="s">
        <v>687</v>
      </c>
      <c r="D224" s="120">
        <v>27000</v>
      </c>
      <c r="E224" s="120">
        <v>15000</v>
      </c>
      <c r="F224" s="120"/>
    </row>
    <row r="225" spans="1:6" s="119" customFormat="1" ht="21" customHeight="1">
      <c r="A225" s="122" t="s">
        <v>722</v>
      </c>
      <c r="B225" s="122"/>
      <c r="C225" s="117" t="s">
        <v>723</v>
      </c>
      <c r="D225" s="118">
        <f aca="true" t="shared" si="3" ref="D225:F226">SUM(D226)</f>
        <v>45000</v>
      </c>
      <c r="E225" s="118">
        <f t="shared" si="3"/>
        <v>57200</v>
      </c>
      <c r="F225" s="118">
        <f t="shared" si="3"/>
        <v>0</v>
      </c>
    </row>
    <row r="226" spans="1:6" s="119" customFormat="1" ht="12" customHeight="1">
      <c r="A226" s="122"/>
      <c r="B226" s="122" t="s">
        <v>724</v>
      </c>
      <c r="C226" s="374" t="s">
        <v>632</v>
      </c>
      <c r="D226" s="118">
        <f t="shared" si="3"/>
        <v>45000</v>
      </c>
      <c r="E226" s="118">
        <f t="shared" si="3"/>
        <v>57200</v>
      </c>
      <c r="F226" s="118">
        <f t="shared" si="3"/>
        <v>0</v>
      </c>
    </row>
    <row r="227" spans="1:6" s="119" customFormat="1" ht="12" customHeight="1">
      <c r="A227" s="122" t="s">
        <v>722</v>
      </c>
      <c r="B227" s="122" t="s">
        <v>724</v>
      </c>
      <c r="C227" s="123" t="s">
        <v>655</v>
      </c>
      <c r="D227" s="120">
        <v>45000</v>
      </c>
      <c r="E227" s="120">
        <v>57200</v>
      </c>
      <c r="F227" s="124"/>
    </row>
    <row r="228" spans="1:6" s="119" customFormat="1" ht="12" customHeight="1">
      <c r="A228" s="122"/>
      <c r="B228" s="122"/>
      <c r="C228" s="123" t="s">
        <v>687</v>
      </c>
      <c r="D228" s="120">
        <v>7500</v>
      </c>
      <c r="E228" s="120">
        <v>18000</v>
      </c>
      <c r="F228" s="124"/>
    </row>
    <row r="229" spans="1:6" s="119" customFormat="1" ht="12" customHeight="1">
      <c r="A229" s="122"/>
      <c r="B229" s="122"/>
      <c r="C229" s="123" t="s">
        <v>661</v>
      </c>
      <c r="D229" s="120">
        <v>7200</v>
      </c>
      <c r="E229" s="120">
        <v>5000</v>
      </c>
      <c r="F229" s="124"/>
    </row>
    <row r="230" spans="1:6" s="69" customFormat="1" ht="18.75" customHeight="1">
      <c r="A230" s="654" t="s">
        <v>725</v>
      </c>
      <c r="B230" s="654"/>
      <c r="C230" s="654"/>
      <c r="D230" s="126">
        <f>D11+D15+D20+D30+D33+D44+D71+D87+D94+D97+D142+D154+D181+D188+D217+D225+D138</f>
        <v>55569785</v>
      </c>
      <c r="E230" s="126">
        <f>E11+E15+E20+E30+E33+E44+E71+E87+E94+E97+E142+E154+E181+E188+E217+E225+E138</f>
        <v>63251941</v>
      </c>
      <c r="F230" s="126">
        <v>0</v>
      </c>
    </row>
    <row r="231" spans="1:6" s="104" customFormat="1" ht="12.75" customHeight="1">
      <c r="A231" s="655" t="s">
        <v>735</v>
      </c>
      <c r="B231" s="655"/>
      <c r="C231" s="655"/>
      <c r="D231" s="454"/>
      <c r="E231" s="454"/>
      <c r="F231" s="127"/>
    </row>
    <row r="232" spans="1:6" ht="18.75" customHeight="1">
      <c r="A232" s="394"/>
      <c r="B232" s="394"/>
      <c r="C232" s="128" t="s">
        <v>485</v>
      </c>
      <c r="D232" s="126">
        <f>D227+D222+D219+D216+D214+D210+D206+D202+D199+D196+D193+D190+D186+D183+D179+D176+D172+D170+D167+D164+D160+D156+D152+D150+D147+D140+D136+D133+D130+D127+D124+D119+D116+D111+D108+D105+D102+D99+D96+D85+D82+D79+D75+D73+D69+D65+D62+D59+D55+D52+D49+D46+D43+D39+D37+D35+D32+D22+D19+D17+D13+D87+D144</f>
        <v>53091781</v>
      </c>
      <c r="E232" s="126">
        <f>E227+E222+E219+E216+E214+E210+E206+E202+E199+E196+E193+E190+E186+E183+E179+E176+E172+E170+E167+E164+E160+E156+E152+E150+E147+E140+E136+E133+E130+E127+E124+E119+E116+E111+E108+E105+E102+E99+E96+E85+E82+E79+E75+E73+E69+E65+E62+E59+E55+E52+E49+E46+E43+E39+E37+E35+E32+E22+E19+E17+E13+E87+E144</f>
        <v>53046942</v>
      </c>
      <c r="F232" s="126">
        <f>F227+F222+F219+F216+F214+F210+F206+F202+F199+F196+F193+F190+F186+F183+F179+F176+F172+F170+F167+F164+F160+F156+F152+F150+F147+F140+F136+F133+F130+F127+F124+F119+F116+F111+F108+F105+F102+F99+F96+F85+F82+F79+F75+F73+F69+F65+F62+F59+F55+F52+F49+F46+F43+F39+F37+F35+F32+F22+F19+F17+F13+F87</f>
        <v>0</v>
      </c>
    </row>
    <row r="233" spans="1:6" ht="18.75" customHeight="1">
      <c r="A233" s="394"/>
      <c r="B233" s="394"/>
      <c r="C233" s="129" t="s">
        <v>231</v>
      </c>
      <c r="D233" s="124">
        <f>D229+D211+D203+D200+D197+D194+D191+D187+D184+D180+D177+D173+D165+D161+D157+D141+D131+D128+D125+D120+D117+D112+D109+D106+D103+D100+D76+D63+D60+D56+D53+D47+D40+D23+D14+D223+D207+D148+D134</f>
        <v>30273162</v>
      </c>
      <c r="E233" s="124">
        <f>E229+E211+E203+E200+E197+E194+E191+E187+E184+E180+E177+E173+E165+E161+E157+E141+E131+E128+E125+E120+E117+E112+E109+E106+E103+E100+E76+E63+E60+E56+E53+E47+E40+E23+E14+E223+E207+E148+E134</f>
        <v>31258655</v>
      </c>
      <c r="F233" s="124">
        <f>F229+F203+F200+F197+F194+F191+F187+F184+F180+F177+F173+F165+F161+F157+F131+F128+F125+F120+F117+F112+F106+F103+F100+F76+F60+F56+F47+F40+F23+F14</f>
        <v>0</v>
      </c>
    </row>
    <row r="234" spans="1:6" ht="18.75" customHeight="1">
      <c r="A234" s="394"/>
      <c r="B234" s="394"/>
      <c r="C234" s="129" t="s">
        <v>687</v>
      </c>
      <c r="D234" s="124">
        <f>SUM(D228,D224,D220,D212,D208,D168,D158,D153,D137,D121,D113,D86,D83,D70,D66,D50,D24)</f>
        <v>2006031</v>
      </c>
      <c r="E234" s="124">
        <f>SUM(E228,E224,E220,E212,E208,E168,E158,E153,E137,E121,E113,E86,E83,E70,E66,E50,E24)</f>
        <v>1832532</v>
      </c>
      <c r="F234" s="124">
        <f>SUM(F228,F224,F220,F212,F208,F168,F158,F153,F137,F121,F113,F86,F83,F70,F66,F50,F24)</f>
        <v>0</v>
      </c>
    </row>
    <row r="235" spans="1:6" ht="18.75" customHeight="1">
      <c r="A235" s="394"/>
      <c r="B235" s="394"/>
      <c r="C235" s="129" t="s">
        <v>732</v>
      </c>
      <c r="D235" s="124">
        <f>SUM(D89)</f>
        <v>984079</v>
      </c>
      <c r="E235" s="124">
        <f>SUM(E89)</f>
        <v>973415</v>
      </c>
      <c r="F235" s="124">
        <f>SUM(F89)</f>
        <v>0</v>
      </c>
    </row>
    <row r="236" spans="1:6" ht="12.75">
      <c r="A236" s="394"/>
      <c r="B236" s="394"/>
      <c r="C236" s="129" t="s">
        <v>733</v>
      </c>
      <c r="D236" s="658">
        <f>SUM(D93)</f>
        <v>0</v>
      </c>
      <c r="E236" s="658">
        <f>SUM(E93)</f>
        <v>150000</v>
      </c>
      <c r="F236" s="658">
        <f>SUM(F93)</f>
        <v>0</v>
      </c>
    </row>
    <row r="237" spans="1:6" ht="12.75">
      <c r="A237" s="394"/>
      <c r="B237" s="394"/>
      <c r="C237" s="129" t="s">
        <v>734</v>
      </c>
      <c r="D237" s="658"/>
      <c r="E237" s="658"/>
      <c r="F237" s="658"/>
    </row>
    <row r="238" spans="1:6" s="105" customFormat="1" ht="12.75">
      <c r="A238" s="394"/>
      <c r="B238" s="394"/>
      <c r="C238" s="128" t="s">
        <v>737</v>
      </c>
      <c r="D238" s="126">
        <f>SUM(D239:D240)</f>
        <v>2478004</v>
      </c>
      <c r="E238" s="126">
        <f>SUM(E204,E174,E162,E145,E122,E114,E80,E77,E57,E41,E29,E25)</f>
        <v>10204999</v>
      </c>
      <c r="F238" s="126">
        <f>SUM(F204,F174,F162,F145,F122,F114,F80,F77,F57,F41,F29,F25)</f>
        <v>0</v>
      </c>
    </row>
    <row r="239" spans="1:6" s="109" customFormat="1" ht="18.75" customHeight="1">
      <c r="A239" s="395"/>
      <c r="B239" s="395"/>
      <c r="C239" s="129" t="s">
        <v>736</v>
      </c>
      <c r="D239" s="124">
        <f>SUM(D174,D162,D122,D114,D80,D77,D57,D41,D29,D26,D67)</f>
        <v>1386004</v>
      </c>
      <c r="E239" s="124">
        <f>SUM(E174,E162,E122,E114,E80,E77,E57,E41,E29,E26)</f>
        <v>5102999</v>
      </c>
      <c r="F239" s="124">
        <v>0</v>
      </c>
    </row>
    <row r="240" spans="1:6" ht="12.75">
      <c r="A240" s="393"/>
      <c r="B240" s="393"/>
      <c r="C240" s="129" t="s">
        <v>232</v>
      </c>
      <c r="D240" s="454">
        <f>D27+D145</f>
        <v>1092000</v>
      </c>
      <c r="E240" s="454">
        <f>E27+E145</f>
        <v>5102000</v>
      </c>
      <c r="F240" s="124">
        <v>0</v>
      </c>
    </row>
    <row r="242" spans="4:5" ht="12.75">
      <c r="D242" s="130"/>
      <c r="E242" s="130"/>
    </row>
    <row r="245" spans="4:5" ht="12.75">
      <c r="D245" s="130"/>
      <c r="E245" s="130"/>
    </row>
  </sheetData>
  <mergeCells count="10">
    <mergeCell ref="A230:C230"/>
    <mergeCell ref="A231:C231"/>
    <mergeCell ref="E8:F8"/>
    <mergeCell ref="D236:D237"/>
    <mergeCell ref="E236:E237"/>
    <mergeCell ref="F236:F237"/>
    <mergeCell ref="A8:A9"/>
    <mergeCell ref="B8:B9"/>
    <mergeCell ref="C8:C9"/>
    <mergeCell ref="D8:D9"/>
  </mergeCells>
  <printOptions/>
  <pageMargins left="0.92" right="0.27" top="0.59" bottom="0.6299212598425197" header="0.5118110236220472" footer="0.3543307086614173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5"/>
  <sheetViews>
    <sheetView workbookViewId="0" topLeftCell="A1">
      <selection activeCell="G2" sqref="G2"/>
    </sheetView>
  </sheetViews>
  <sheetFormatPr defaultColWidth="9.00390625" defaultRowHeight="12.75"/>
  <cols>
    <col min="1" max="1" width="4.875" style="170" bestFit="1" customWidth="1"/>
    <col min="2" max="2" width="7.75390625" style="170" bestFit="1" customWidth="1"/>
    <col min="3" max="3" width="8.125" style="170" bestFit="1" customWidth="1"/>
    <col min="4" max="4" width="32.125" style="171" customWidth="1"/>
    <col min="5" max="5" width="15.625" style="121" customWidth="1"/>
    <col min="6" max="6" width="13.25390625" style="178" customWidth="1"/>
    <col min="7" max="7" width="12.875" style="121" customWidth="1"/>
    <col min="8" max="16384" width="9.125" style="171" customWidth="1"/>
  </cols>
  <sheetData>
    <row r="1" spans="5:7" ht="12.75">
      <c r="E1" s="181"/>
      <c r="F1" s="171"/>
      <c r="G1" s="130" t="s">
        <v>151</v>
      </c>
    </row>
    <row r="2" spans="5:7" ht="14.25">
      <c r="E2" s="181"/>
      <c r="F2" s="181"/>
      <c r="G2" s="176" t="s">
        <v>764</v>
      </c>
    </row>
    <row r="3" spans="5:7" ht="14.25">
      <c r="E3" s="181"/>
      <c r="F3" s="181"/>
      <c r="G3" s="176" t="s">
        <v>46</v>
      </c>
    </row>
    <row r="4" ht="6.75" customHeight="1">
      <c r="G4" s="182"/>
    </row>
    <row r="5" ht="6.75" customHeight="1">
      <c r="G5" s="171"/>
    </row>
    <row r="6" spans="1:7" ht="12.75">
      <c r="A6" s="633" t="s">
        <v>739</v>
      </c>
      <c r="B6" s="633"/>
      <c r="C6" s="633"/>
      <c r="D6" s="633"/>
      <c r="E6" s="633"/>
      <c r="F6" s="633"/>
      <c r="G6" s="633"/>
    </row>
    <row r="7" spans="1:7" ht="12.75">
      <c r="A7" s="633" t="s">
        <v>380</v>
      </c>
      <c r="B7" s="633"/>
      <c r="C7" s="633"/>
      <c r="D7" s="633"/>
      <c r="E7" s="633"/>
      <c r="F7" s="633"/>
      <c r="G7" s="633"/>
    </row>
    <row r="8" spans="2:4" ht="8.25" customHeight="1">
      <c r="B8" s="183"/>
      <c r="C8" s="184"/>
      <c r="D8" s="185"/>
    </row>
    <row r="9" spans="1:7" s="186" customFormat="1" ht="66" customHeight="1">
      <c r="A9" s="214" t="s">
        <v>420</v>
      </c>
      <c r="B9" s="214" t="s">
        <v>421</v>
      </c>
      <c r="C9" s="214" t="s">
        <v>519</v>
      </c>
      <c r="D9" s="63" t="s">
        <v>422</v>
      </c>
      <c r="E9" s="89" t="s">
        <v>740</v>
      </c>
      <c r="F9" s="215" t="s">
        <v>424</v>
      </c>
      <c r="G9" s="89" t="s">
        <v>741</v>
      </c>
    </row>
    <row r="10" spans="1:7" s="187" customFormat="1" ht="12.75">
      <c r="A10" s="390">
        <v>1</v>
      </c>
      <c r="B10" s="390">
        <v>2</v>
      </c>
      <c r="C10" s="390">
        <v>3</v>
      </c>
      <c r="D10" s="383">
        <v>4</v>
      </c>
      <c r="E10" s="383">
        <v>5</v>
      </c>
      <c r="F10" s="399">
        <v>6</v>
      </c>
      <c r="G10" s="399">
        <v>7</v>
      </c>
    </row>
    <row r="11" spans="1:7" s="98" customFormat="1" ht="12.75">
      <c r="A11" s="189" t="s">
        <v>520</v>
      </c>
      <c r="B11" s="190"/>
      <c r="C11" s="190"/>
      <c r="D11" s="95" t="s">
        <v>521</v>
      </c>
      <c r="E11" s="191">
        <f>E12</f>
        <v>40000</v>
      </c>
      <c r="F11" s="191">
        <f>F12</f>
        <v>40000</v>
      </c>
      <c r="G11" s="191">
        <f>SUM(G18)</f>
        <v>4530</v>
      </c>
    </row>
    <row r="12" spans="1:7" s="98" customFormat="1" ht="25.5">
      <c r="A12" s="189"/>
      <c r="B12" s="192" t="s">
        <v>522</v>
      </c>
      <c r="C12" s="190"/>
      <c r="D12" s="95" t="s">
        <v>523</v>
      </c>
      <c r="E12" s="191">
        <f>SUM(E13)</f>
        <v>40000</v>
      </c>
      <c r="F12" s="126">
        <f>SUM(F13:F17)</f>
        <v>40000</v>
      </c>
      <c r="G12" s="193">
        <v>0</v>
      </c>
    </row>
    <row r="13" spans="1:7" s="98" customFormat="1" ht="63.75">
      <c r="A13" s="198"/>
      <c r="B13" s="192"/>
      <c r="C13" s="195" t="s">
        <v>524</v>
      </c>
      <c r="D13" s="99" t="s">
        <v>525</v>
      </c>
      <c r="E13" s="196">
        <v>40000</v>
      </c>
      <c r="F13" s="124"/>
      <c r="G13" s="197"/>
    </row>
    <row r="14" spans="1:7" s="98" customFormat="1" ht="12.75">
      <c r="A14" s="198"/>
      <c r="B14" s="421"/>
      <c r="C14" s="177">
        <v>4110</v>
      </c>
      <c r="D14" s="99" t="s">
        <v>742</v>
      </c>
      <c r="E14" s="196"/>
      <c r="F14" s="124">
        <v>500</v>
      </c>
      <c r="G14" s="197"/>
    </row>
    <row r="15" spans="1:7" s="98" customFormat="1" ht="12.75">
      <c r="A15" s="198"/>
      <c r="B15" s="421"/>
      <c r="C15" s="199">
        <v>4120</v>
      </c>
      <c r="D15" s="188" t="s">
        <v>743</v>
      </c>
      <c r="E15" s="191"/>
      <c r="F15" s="124">
        <v>75</v>
      </c>
      <c r="G15" s="197"/>
    </row>
    <row r="16" spans="1:7" s="98" customFormat="1" ht="12.75">
      <c r="A16" s="198"/>
      <c r="B16" s="421"/>
      <c r="C16" s="199">
        <v>4170</v>
      </c>
      <c r="D16" s="188" t="s">
        <v>744</v>
      </c>
      <c r="E16" s="191"/>
      <c r="F16" s="124">
        <v>3000</v>
      </c>
      <c r="G16" s="197"/>
    </row>
    <row r="17" spans="1:7" s="98" customFormat="1" ht="12.75">
      <c r="A17" s="198"/>
      <c r="B17" s="204"/>
      <c r="C17" s="199">
        <v>4300</v>
      </c>
      <c r="D17" s="188" t="s">
        <v>745</v>
      </c>
      <c r="E17" s="191"/>
      <c r="F17" s="124">
        <v>36425</v>
      </c>
      <c r="G17" s="197"/>
    </row>
    <row r="18" spans="1:7" s="98" customFormat="1" ht="12.75">
      <c r="A18" s="198"/>
      <c r="B18" s="192" t="s">
        <v>217</v>
      </c>
      <c r="C18" s="190"/>
      <c r="D18" s="95" t="s">
        <v>218</v>
      </c>
      <c r="E18" s="191">
        <f>SUM(E19)</f>
        <v>0</v>
      </c>
      <c r="F18" s="126">
        <f>SUM(F19)</f>
        <v>0</v>
      </c>
      <c r="G18" s="126">
        <f>SUM(G19)</f>
        <v>4530</v>
      </c>
    </row>
    <row r="19" spans="1:7" s="98" customFormat="1" ht="51">
      <c r="A19" s="201"/>
      <c r="B19" s="190"/>
      <c r="C19" s="190" t="s">
        <v>749</v>
      </c>
      <c r="D19" s="99" t="s">
        <v>750</v>
      </c>
      <c r="E19" s="196"/>
      <c r="F19" s="124"/>
      <c r="G19" s="203">
        <v>4530</v>
      </c>
    </row>
    <row r="20" spans="1:7" s="98" customFormat="1" ht="12.75">
      <c r="A20" s="201" t="s">
        <v>540</v>
      </c>
      <c r="B20" s="201"/>
      <c r="C20" s="190"/>
      <c r="D20" s="95" t="s">
        <v>541</v>
      </c>
      <c r="E20" s="191">
        <f>SUM(E21)</f>
        <v>18000</v>
      </c>
      <c r="F20" s="126">
        <f>SUM(F21)</f>
        <v>18000</v>
      </c>
      <c r="G20" s="202">
        <f>SUM(G21)</f>
        <v>986000</v>
      </c>
    </row>
    <row r="21" spans="1:7" s="98" customFormat="1" ht="25.5">
      <c r="A21" s="189"/>
      <c r="B21" s="190" t="s">
        <v>542</v>
      </c>
      <c r="C21" s="190"/>
      <c r="D21" s="95" t="s">
        <v>543</v>
      </c>
      <c r="E21" s="191">
        <f>SUM(E22:E26)</f>
        <v>18000</v>
      </c>
      <c r="F21" s="191">
        <f>SUM(F22:F26)</f>
        <v>18000</v>
      </c>
      <c r="G21" s="191">
        <f>SUM(G22:G26)</f>
        <v>986000</v>
      </c>
    </row>
    <row r="22" spans="1:7" s="98" customFormat="1" ht="63.75">
      <c r="A22" s="198"/>
      <c r="B22" s="189"/>
      <c r="C22" s="190" t="s">
        <v>524</v>
      </c>
      <c r="D22" s="99" t="s">
        <v>525</v>
      </c>
      <c r="E22" s="203">
        <v>18000</v>
      </c>
      <c r="F22" s="124"/>
      <c r="G22" s="197"/>
    </row>
    <row r="23" spans="1:7" s="98" customFormat="1" ht="12.75">
      <c r="A23" s="198"/>
      <c r="B23" s="198"/>
      <c r="C23" s="190" t="s">
        <v>746</v>
      </c>
      <c r="D23" s="99" t="s">
        <v>745</v>
      </c>
      <c r="E23" s="203"/>
      <c r="F23" s="124">
        <v>7000</v>
      </c>
      <c r="G23" s="197"/>
    </row>
    <row r="24" spans="1:7" s="98" customFormat="1" ht="12.75">
      <c r="A24" s="198"/>
      <c r="B24" s="198"/>
      <c r="C24" s="190" t="s">
        <v>747</v>
      </c>
      <c r="D24" s="99" t="s">
        <v>748</v>
      </c>
      <c r="E24" s="203"/>
      <c r="F24" s="124">
        <v>8000</v>
      </c>
      <c r="G24" s="197"/>
    </row>
    <row r="25" spans="1:7" s="98" customFormat="1" ht="25.5">
      <c r="A25" s="198"/>
      <c r="B25" s="198"/>
      <c r="C25" s="190" t="s">
        <v>124</v>
      </c>
      <c r="D25" s="338" t="s">
        <v>125</v>
      </c>
      <c r="E25" s="203"/>
      <c r="F25" s="124">
        <v>3000</v>
      </c>
      <c r="G25" s="197"/>
    </row>
    <row r="26" spans="1:7" s="98" customFormat="1" ht="42" customHeight="1">
      <c r="A26" s="198"/>
      <c r="B26" s="201"/>
      <c r="C26" s="190" t="s">
        <v>749</v>
      </c>
      <c r="D26" s="99" t="s">
        <v>750</v>
      </c>
      <c r="E26" s="191"/>
      <c r="F26" s="124"/>
      <c r="G26" s="203">
        <v>986000</v>
      </c>
    </row>
    <row r="27" spans="1:7" s="98" customFormat="1" ht="12.75">
      <c r="A27" s="190" t="s">
        <v>548</v>
      </c>
      <c r="B27" s="190"/>
      <c r="C27" s="190"/>
      <c r="D27" s="95" t="s">
        <v>549</v>
      </c>
      <c r="E27" s="191">
        <f>SUM(E28,E31,E34)</f>
        <v>266105</v>
      </c>
      <c r="F27" s="118">
        <f>SUM(F28,F31,F34)</f>
        <v>266105</v>
      </c>
      <c r="G27" s="118">
        <f>SUM(G28,G31,G34)</f>
        <v>0</v>
      </c>
    </row>
    <row r="28" spans="1:7" s="98" customFormat="1" ht="18" customHeight="1">
      <c r="A28" s="189"/>
      <c r="B28" s="190" t="s">
        <v>550</v>
      </c>
      <c r="C28" s="190"/>
      <c r="D28" s="95" t="s">
        <v>551</v>
      </c>
      <c r="E28" s="191">
        <f>SUM(E29)</f>
        <v>40000</v>
      </c>
      <c r="F28" s="126">
        <f>SUM(F29:F30)</f>
        <v>40000</v>
      </c>
      <c r="G28" s="126">
        <f>SUM(G29:G30)</f>
        <v>0</v>
      </c>
    </row>
    <row r="29" spans="1:7" s="98" customFormat="1" ht="63.75">
      <c r="A29" s="198"/>
      <c r="B29" s="189"/>
      <c r="C29" s="190" t="s">
        <v>524</v>
      </c>
      <c r="D29" s="99" t="s">
        <v>525</v>
      </c>
      <c r="E29" s="196">
        <v>40000</v>
      </c>
      <c r="F29" s="124"/>
      <c r="G29" s="197"/>
    </row>
    <row r="30" spans="1:7" s="98" customFormat="1" ht="12.75">
      <c r="A30" s="198"/>
      <c r="B30" s="201"/>
      <c r="C30" s="190" t="s">
        <v>746</v>
      </c>
      <c r="D30" s="99" t="s">
        <v>745</v>
      </c>
      <c r="E30" s="191"/>
      <c r="F30" s="124">
        <v>40000</v>
      </c>
      <c r="G30" s="197"/>
    </row>
    <row r="31" spans="1:7" s="98" customFormat="1" ht="25.5">
      <c r="A31" s="198"/>
      <c r="B31" s="190" t="s">
        <v>552</v>
      </c>
      <c r="C31" s="190"/>
      <c r="D31" s="95" t="s">
        <v>553</v>
      </c>
      <c r="E31" s="191">
        <f>SUM(E32)</f>
        <v>8000</v>
      </c>
      <c r="F31" s="126">
        <f>SUM(F32:F33)</f>
        <v>8000</v>
      </c>
      <c r="G31" s="126">
        <f>SUM(G32:G33)</f>
        <v>0</v>
      </c>
    </row>
    <row r="32" spans="1:7" s="98" customFormat="1" ht="63.75">
      <c r="A32" s="198"/>
      <c r="B32" s="189"/>
      <c r="C32" s="190" t="s">
        <v>524</v>
      </c>
      <c r="D32" s="99" t="s">
        <v>525</v>
      </c>
      <c r="E32" s="203">
        <v>8000</v>
      </c>
      <c r="F32" s="124"/>
      <c r="G32" s="197"/>
    </row>
    <row r="33" spans="1:7" s="98" customFormat="1" ht="12.75">
      <c r="A33" s="201"/>
      <c r="B33" s="201"/>
      <c r="C33" s="190" t="s">
        <v>746</v>
      </c>
      <c r="D33" s="99" t="s">
        <v>745</v>
      </c>
      <c r="E33" s="203"/>
      <c r="F33" s="124">
        <v>8000</v>
      </c>
      <c r="G33" s="197"/>
    </row>
    <row r="34" spans="1:7" s="98" customFormat="1" ht="12.75">
      <c r="A34" s="189" t="s">
        <v>548</v>
      </c>
      <c r="B34" s="189" t="s">
        <v>554</v>
      </c>
      <c r="C34" s="190"/>
      <c r="D34" s="95" t="s">
        <v>555</v>
      </c>
      <c r="E34" s="191">
        <f>SUM(E35:E47)</f>
        <v>218105</v>
      </c>
      <c r="F34" s="191">
        <f>SUM(F35:F47)</f>
        <v>218105</v>
      </c>
      <c r="G34" s="191">
        <f>SUM(G35:G47)</f>
        <v>0</v>
      </c>
    </row>
    <row r="35" spans="1:7" s="98" customFormat="1" ht="63.75">
      <c r="A35" s="423"/>
      <c r="B35" s="189"/>
      <c r="C35" s="204" t="s">
        <v>524</v>
      </c>
      <c r="D35" s="205" t="s">
        <v>525</v>
      </c>
      <c r="E35" s="203">
        <v>218105</v>
      </c>
      <c r="F35" s="124"/>
      <c r="G35" s="197"/>
    </row>
    <row r="36" spans="1:7" s="98" customFormat="1" ht="25.5" customHeight="1">
      <c r="A36" s="194"/>
      <c r="B36" s="198"/>
      <c r="C36" s="195" t="s">
        <v>752</v>
      </c>
      <c r="D36" s="99" t="s">
        <v>753</v>
      </c>
      <c r="E36" s="203"/>
      <c r="F36" s="124">
        <v>73110</v>
      </c>
      <c r="G36" s="197"/>
    </row>
    <row r="37" spans="1:7" s="98" customFormat="1" ht="25.5">
      <c r="A37" s="194"/>
      <c r="B37" s="198"/>
      <c r="C37" s="195" t="s">
        <v>754</v>
      </c>
      <c r="D37" s="99" t="s">
        <v>0</v>
      </c>
      <c r="E37" s="203"/>
      <c r="F37" s="124">
        <v>85848</v>
      </c>
      <c r="G37" s="197"/>
    </row>
    <row r="38" spans="1:7" s="98" customFormat="1" ht="12.75">
      <c r="A38" s="424"/>
      <c r="B38" s="179"/>
      <c r="C38" s="195" t="s">
        <v>1</v>
      </c>
      <c r="D38" s="99" t="s">
        <v>2</v>
      </c>
      <c r="E38" s="203"/>
      <c r="F38" s="124">
        <v>11000</v>
      </c>
      <c r="G38" s="197"/>
    </row>
    <row r="39" spans="1:7" s="98" customFormat="1" ht="12.75">
      <c r="A39" s="194"/>
      <c r="B39" s="198"/>
      <c r="C39" s="195" t="s">
        <v>3</v>
      </c>
      <c r="D39" s="99" t="s">
        <v>4</v>
      </c>
      <c r="E39" s="203"/>
      <c r="F39" s="124">
        <v>24665</v>
      </c>
      <c r="G39" s="197"/>
    </row>
    <row r="40" spans="1:7" s="98" customFormat="1" ht="12.75">
      <c r="A40" s="194"/>
      <c r="B40" s="198"/>
      <c r="C40" s="195" t="s">
        <v>5</v>
      </c>
      <c r="D40" s="99" t="s">
        <v>743</v>
      </c>
      <c r="E40" s="203"/>
      <c r="F40" s="124">
        <v>3322</v>
      </c>
      <c r="G40" s="197"/>
    </row>
    <row r="41" spans="1:7" s="98" customFormat="1" ht="12.75">
      <c r="A41" s="424"/>
      <c r="B41" s="179"/>
      <c r="C41" s="195" t="s">
        <v>6</v>
      </c>
      <c r="D41" s="99" t="s">
        <v>7</v>
      </c>
      <c r="E41" s="203"/>
      <c r="F41" s="124">
        <v>1522</v>
      </c>
      <c r="G41" s="197"/>
    </row>
    <row r="42" spans="1:7" s="98" customFormat="1" ht="12.75">
      <c r="A42" s="424"/>
      <c r="B42" s="179"/>
      <c r="C42" s="195" t="s">
        <v>8</v>
      </c>
      <c r="D42" s="99" t="s">
        <v>9</v>
      </c>
      <c r="E42" s="203"/>
      <c r="F42" s="124">
        <v>0</v>
      </c>
      <c r="G42" s="197"/>
    </row>
    <row r="43" spans="1:7" s="98" customFormat="1" ht="12.75">
      <c r="A43" s="424"/>
      <c r="B43" s="179"/>
      <c r="C43" s="195" t="s">
        <v>10</v>
      </c>
      <c r="D43" s="99" t="s">
        <v>11</v>
      </c>
      <c r="E43" s="203"/>
      <c r="F43" s="124">
        <v>0</v>
      </c>
      <c r="G43" s="197"/>
    </row>
    <row r="44" spans="1:7" s="98" customFormat="1" ht="12.75">
      <c r="A44" s="194"/>
      <c r="B44" s="198"/>
      <c r="C44" s="195" t="s">
        <v>746</v>
      </c>
      <c r="D44" s="99" t="s">
        <v>745</v>
      </c>
      <c r="E44" s="203"/>
      <c r="F44" s="124">
        <v>13440</v>
      </c>
      <c r="G44" s="197"/>
    </row>
    <row r="45" spans="1:7" s="98" customFormat="1" ht="12.75">
      <c r="A45" s="194"/>
      <c r="B45" s="198"/>
      <c r="C45" s="195" t="s">
        <v>12</v>
      </c>
      <c r="D45" s="99" t="s">
        <v>13</v>
      </c>
      <c r="E45" s="203"/>
      <c r="F45" s="124">
        <v>0</v>
      </c>
      <c r="G45" s="197"/>
    </row>
    <row r="46" spans="1:7" s="98" customFormat="1" ht="12.75">
      <c r="A46" s="194"/>
      <c r="B46" s="198"/>
      <c r="C46" s="195" t="s">
        <v>747</v>
      </c>
      <c r="D46" s="99" t="s">
        <v>14</v>
      </c>
      <c r="E46" s="203"/>
      <c r="F46" s="124">
        <v>1800</v>
      </c>
      <c r="G46" s="197"/>
    </row>
    <row r="47" spans="1:7" s="98" customFormat="1" ht="25.5">
      <c r="A47" s="194"/>
      <c r="B47" s="198"/>
      <c r="C47" s="195" t="s">
        <v>15</v>
      </c>
      <c r="D47" s="99" t="s">
        <v>16</v>
      </c>
      <c r="E47" s="203"/>
      <c r="F47" s="124">
        <v>3398</v>
      </c>
      <c r="G47" s="197"/>
    </row>
    <row r="48" spans="1:7" s="98" customFormat="1" ht="12.75">
      <c r="A48" s="190" t="s">
        <v>557</v>
      </c>
      <c r="B48" s="190"/>
      <c r="C48" s="190"/>
      <c r="D48" s="95" t="s">
        <v>558</v>
      </c>
      <c r="E48" s="191">
        <f>SUM(E49,E60)</f>
        <v>231542</v>
      </c>
      <c r="F48" s="118">
        <f>SUM(F49,F60)</f>
        <v>231542</v>
      </c>
      <c r="G48" s="118">
        <f>SUM(G49,G60)</f>
        <v>0</v>
      </c>
    </row>
    <row r="49" spans="1:7" s="98" customFormat="1" ht="12.75">
      <c r="A49" s="189"/>
      <c r="B49" s="190" t="s">
        <v>559</v>
      </c>
      <c r="C49" s="190"/>
      <c r="D49" s="95" t="s">
        <v>560</v>
      </c>
      <c r="E49" s="191">
        <f>SUM(E50)</f>
        <v>204542</v>
      </c>
      <c r="F49" s="126">
        <f>SUM(F51:F59)</f>
        <v>204542</v>
      </c>
      <c r="G49" s="126">
        <f>SUM(G51:G59)</f>
        <v>0</v>
      </c>
    </row>
    <row r="50" spans="1:7" s="98" customFormat="1" ht="63.75">
      <c r="A50" s="198"/>
      <c r="B50" s="189"/>
      <c r="C50" s="190" t="s">
        <v>524</v>
      </c>
      <c r="D50" s="99" t="s">
        <v>525</v>
      </c>
      <c r="E50" s="196">
        <v>204542</v>
      </c>
      <c r="F50" s="124"/>
      <c r="G50" s="197"/>
    </row>
    <row r="51" spans="1:7" s="98" customFormat="1" ht="13.5" customHeight="1">
      <c r="A51" s="198"/>
      <c r="B51" s="198"/>
      <c r="C51" s="190" t="s">
        <v>752</v>
      </c>
      <c r="D51" s="99" t="s">
        <v>753</v>
      </c>
      <c r="E51" s="191"/>
      <c r="F51" s="124">
        <v>144000</v>
      </c>
      <c r="G51" s="197"/>
    </row>
    <row r="52" spans="1:7" s="98" customFormat="1" ht="12.75">
      <c r="A52" s="198"/>
      <c r="B52" s="198"/>
      <c r="C52" s="190" t="s">
        <v>1</v>
      </c>
      <c r="D52" s="99" t="s">
        <v>2</v>
      </c>
      <c r="E52" s="191"/>
      <c r="F52" s="124">
        <v>11500</v>
      </c>
      <c r="G52" s="197"/>
    </row>
    <row r="53" spans="1:7" s="98" customFormat="1" ht="12.75">
      <c r="A53" s="198"/>
      <c r="B53" s="198"/>
      <c r="C53" s="190" t="s">
        <v>3</v>
      </c>
      <c r="D53" s="99" t="s">
        <v>4</v>
      </c>
      <c r="E53" s="191"/>
      <c r="F53" s="124">
        <v>27000</v>
      </c>
      <c r="G53" s="197"/>
    </row>
    <row r="54" spans="1:7" s="98" customFormat="1" ht="12.75">
      <c r="A54" s="198"/>
      <c r="B54" s="198"/>
      <c r="C54" s="190" t="s">
        <v>5</v>
      </c>
      <c r="D54" s="99" t="s">
        <v>743</v>
      </c>
      <c r="E54" s="191"/>
      <c r="F54" s="124">
        <v>5000</v>
      </c>
      <c r="G54" s="197"/>
    </row>
    <row r="55" spans="1:7" s="98" customFormat="1" ht="12.75">
      <c r="A55" s="198"/>
      <c r="B55" s="198"/>
      <c r="C55" s="190" t="s">
        <v>6</v>
      </c>
      <c r="D55" s="99" t="s">
        <v>7</v>
      </c>
      <c r="E55" s="191"/>
      <c r="F55" s="124">
        <v>2000</v>
      </c>
      <c r="G55" s="197"/>
    </row>
    <row r="56" spans="1:7" s="98" customFormat="1" ht="12.75">
      <c r="A56" s="198"/>
      <c r="B56" s="198"/>
      <c r="C56" s="190" t="s">
        <v>746</v>
      </c>
      <c r="D56" s="99" t="s">
        <v>745</v>
      </c>
      <c r="E56" s="191"/>
      <c r="F56" s="124">
        <v>9767</v>
      </c>
      <c r="G56" s="197"/>
    </row>
    <row r="57" spans="1:7" s="98" customFormat="1" ht="12.75">
      <c r="A57" s="198"/>
      <c r="B57" s="198"/>
      <c r="C57" s="190" t="s">
        <v>12</v>
      </c>
      <c r="D57" s="99" t="s">
        <v>13</v>
      </c>
      <c r="E57" s="191"/>
      <c r="F57" s="124">
        <v>500</v>
      </c>
      <c r="G57" s="197"/>
    </row>
    <row r="58" spans="1:7" s="98" customFormat="1" ht="12.75">
      <c r="A58" s="198"/>
      <c r="B58" s="198"/>
      <c r="C58" s="190" t="s">
        <v>747</v>
      </c>
      <c r="D58" s="99" t="s">
        <v>14</v>
      </c>
      <c r="E58" s="191"/>
      <c r="F58" s="124">
        <v>1000</v>
      </c>
      <c r="G58" s="197"/>
    </row>
    <row r="59" spans="1:7" s="98" customFormat="1" ht="25.5">
      <c r="A59" s="198"/>
      <c r="B59" s="201"/>
      <c r="C59" s="190" t="s">
        <v>15</v>
      </c>
      <c r="D59" s="99" t="s">
        <v>16</v>
      </c>
      <c r="E59" s="191"/>
      <c r="F59" s="124">
        <v>3775</v>
      </c>
      <c r="G59" s="197"/>
    </row>
    <row r="60" spans="1:7" s="98" customFormat="1" ht="12.75">
      <c r="A60" s="198"/>
      <c r="B60" s="190" t="s">
        <v>571</v>
      </c>
      <c r="C60" s="190"/>
      <c r="D60" s="95" t="s">
        <v>572</v>
      </c>
      <c r="E60" s="191">
        <f>SUM(E61)</f>
        <v>27000</v>
      </c>
      <c r="F60" s="126">
        <f>SUM(F62:F67)</f>
        <v>27000</v>
      </c>
      <c r="G60" s="126">
        <f>SUM(G61:G66)</f>
        <v>0</v>
      </c>
    </row>
    <row r="61" spans="1:7" s="98" customFormat="1" ht="63.75">
      <c r="A61" s="198"/>
      <c r="B61" s="189"/>
      <c r="C61" s="190" t="s">
        <v>524</v>
      </c>
      <c r="D61" s="99" t="s">
        <v>525</v>
      </c>
      <c r="E61" s="203">
        <v>27000</v>
      </c>
      <c r="F61" s="124"/>
      <c r="G61" s="197"/>
    </row>
    <row r="62" spans="1:7" s="98" customFormat="1" ht="12.75">
      <c r="A62" s="198"/>
      <c r="B62" s="198"/>
      <c r="C62" s="190" t="s">
        <v>3</v>
      </c>
      <c r="D62" s="99" t="s">
        <v>4</v>
      </c>
      <c r="E62" s="203"/>
      <c r="F62" s="124">
        <v>1800</v>
      </c>
      <c r="G62" s="197"/>
    </row>
    <row r="63" spans="1:7" s="98" customFormat="1" ht="12.75">
      <c r="A63" s="198"/>
      <c r="B63" s="198"/>
      <c r="C63" s="190" t="s">
        <v>5</v>
      </c>
      <c r="D63" s="99" t="s">
        <v>743</v>
      </c>
      <c r="E63" s="203"/>
      <c r="F63" s="124">
        <v>200</v>
      </c>
      <c r="G63" s="197"/>
    </row>
    <row r="64" spans="1:7" s="98" customFormat="1" ht="12.75">
      <c r="A64" s="198"/>
      <c r="B64" s="198"/>
      <c r="C64" s="190" t="s">
        <v>126</v>
      </c>
      <c r="D64" s="338" t="s">
        <v>744</v>
      </c>
      <c r="E64" s="203"/>
      <c r="F64" s="124">
        <v>13500</v>
      </c>
      <c r="G64" s="197"/>
    </row>
    <row r="65" spans="1:7" s="98" customFormat="1" ht="12.75">
      <c r="A65" s="198"/>
      <c r="B65" s="198"/>
      <c r="C65" s="190" t="s">
        <v>6</v>
      </c>
      <c r="D65" s="99" t="s">
        <v>7</v>
      </c>
      <c r="E65" s="203"/>
      <c r="F65" s="124">
        <v>1500</v>
      </c>
      <c r="G65" s="197"/>
    </row>
    <row r="66" spans="1:7" s="98" customFormat="1" ht="12.75">
      <c r="A66" s="198"/>
      <c r="B66" s="198"/>
      <c r="C66" s="201" t="s">
        <v>746</v>
      </c>
      <c r="D66" s="99" t="s">
        <v>745</v>
      </c>
      <c r="E66" s="203"/>
      <c r="F66" s="124">
        <v>9500</v>
      </c>
      <c r="G66" s="197"/>
    </row>
    <row r="67" spans="1:7" s="98" customFormat="1" ht="12.75">
      <c r="A67" s="198"/>
      <c r="B67" s="198"/>
      <c r="C67" s="190" t="s">
        <v>12</v>
      </c>
      <c r="D67" s="99" t="s">
        <v>13</v>
      </c>
      <c r="E67" s="191"/>
      <c r="F67" s="124">
        <v>500</v>
      </c>
      <c r="G67" s="197"/>
    </row>
    <row r="68" spans="1:7" s="98" customFormat="1" ht="25.5">
      <c r="A68" s="189" t="s">
        <v>574</v>
      </c>
      <c r="B68" s="189"/>
      <c r="C68" s="190"/>
      <c r="D68" s="95" t="s">
        <v>575</v>
      </c>
      <c r="E68" s="191">
        <f>SUM(E69,E97)</f>
        <v>2240000</v>
      </c>
      <c r="F68" s="191">
        <f>SUM(F69,F97)</f>
        <v>2240000</v>
      </c>
      <c r="G68" s="191">
        <f>G69</f>
        <v>7000</v>
      </c>
    </row>
    <row r="69" spans="1:7" s="98" customFormat="1" ht="25.5">
      <c r="A69" s="189"/>
      <c r="B69" s="190" t="s">
        <v>576</v>
      </c>
      <c r="C69" s="195"/>
      <c r="D69" s="95" t="s">
        <v>577</v>
      </c>
      <c r="E69" s="191">
        <f>SUM(E70:E70)</f>
        <v>2240000</v>
      </c>
      <c r="F69" s="118">
        <f>SUM(F71:F96)</f>
        <v>2240000</v>
      </c>
      <c r="G69" s="202">
        <f>SUM(G70:G96)</f>
        <v>7000</v>
      </c>
    </row>
    <row r="70" spans="1:7" s="98" customFormat="1" ht="63.75">
      <c r="A70" s="198"/>
      <c r="B70" s="189"/>
      <c r="C70" s="195" t="s">
        <v>524</v>
      </c>
      <c r="D70" s="205" t="s">
        <v>525</v>
      </c>
      <c r="E70" s="203">
        <v>2240000</v>
      </c>
      <c r="F70" s="124"/>
      <c r="G70" s="207"/>
    </row>
    <row r="71" spans="1:7" s="98" customFormat="1" ht="29.25" customHeight="1">
      <c r="A71" s="201"/>
      <c r="B71" s="201"/>
      <c r="C71" s="204" t="s">
        <v>19</v>
      </c>
      <c r="D71" s="205" t="s">
        <v>20</v>
      </c>
      <c r="E71" s="203"/>
      <c r="F71" s="124">
        <v>2000</v>
      </c>
      <c r="G71" s="207"/>
    </row>
    <row r="72" spans="1:7" s="98" customFormat="1" ht="38.25">
      <c r="A72" s="190" t="s">
        <v>574</v>
      </c>
      <c r="B72" s="190" t="s">
        <v>576</v>
      </c>
      <c r="C72" s="195" t="s">
        <v>120</v>
      </c>
      <c r="D72" s="99" t="s">
        <v>121</v>
      </c>
      <c r="E72" s="203"/>
      <c r="F72" s="124">
        <v>161000</v>
      </c>
      <c r="G72" s="207"/>
    </row>
    <row r="73" spans="1:7" s="98" customFormat="1" ht="15.75" customHeight="1">
      <c r="A73" s="198"/>
      <c r="B73" s="198"/>
      <c r="C73" s="195" t="s">
        <v>752</v>
      </c>
      <c r="D73" s="99" t="s">
        <v>753</v>
      </c>
      <c r="E73" s="203"/>
      <c r="F73" s="124">
        <v>18000</v>
      </c>
      <c r="G73" s="207"/>
    </row>
    <row r="74" spans="1:7" s="98" customFormat="1" ht="12.75">
      <c r="A74" s="198"/>
      <c r="B74" s="198"/>
      <c r="C74" s="195" t="s">
        <v>1</v>
      </c>
      <c r="D74" s="99" t="s">
        <v>2</v>
      </c>
      <c r="E74" s="203"/>
      <c r="F74" s="124">
        <v>1300</v>
      </c>
      <c r="G74" s="207"/>
    </row>
    <row r="75" spans="1:7" s="98" customFormat="1" ht="27" customHeight="1">
      <c r="A75" s="198"/>
      <c r="B75" s="198"/>
      <c r="C75" s="195" t="s">
        <v>22</v>
      </c>
      <c r="D75" s="99" t="s">
        <v>23</v>
      </c>
      <c r="E75" s="203"/>
      <c r="F75" s="124">
        <v>1457000</v>
      </c>
      <c r="G75" s="207"/>
    </row>
    <row r="76" spans="1:7" s="98" customFormat="1" ht="38.25">
      <c r="A76" s="198"/>
      <c r="B76" s="198"/>
      <c r="C76" s="195" t="s">
        <v>24</v>
      </c>
      <c r="D76" s="99" t="s">
        <v>25</v>
      </c>
      <c r="E76" s="203"/>
      <c r="F76" s="124">
        <v>104000</v>
      </c>
      <c r="G76" s="207"/>
    </row>
    <row r="77" spans="1:7" s="98" customFormat="1" ht="38.25">
      <c r="A77" s="198"/>
      <c r="B77" s="198"/>
      <c r="C77" s="195" t="s">
        <v>26</v>
      </c>
      <c r="D77" s="99" t="s">
        <v>27</v>
      </c>
      <c r="E77" s="203"/>
      <c r="F77" s="124">
        <v>119145</v>
      </c>
      <c r="G77" s="207"/>
    </row>
    <row r="78" spans="1:7" s="98" customFormat="1" ht="12.75">
      <c r="A78" s="198"/>
      <c r="B78" s="198"/>
      <c r="C78" s="195" t="s">
        <v>3</v>
      </c>
      <c r="D78" s="99" t="s">
        <v>4</v>
      </c>
      <c r="E78" s="203"/>
      <c r="F78" s="124">
        <v>6300</v>
      </c>
      <c r="G78" s="207"/>
    </row>
    <row r="79" spans="1:7" s="98" customFormat="1" ht="12.75">
      <c r="A79" s="198"/>
      <c r="B79" s="198"/>
      <c r="C79" s="195" t="s">
        <v>5</v>
      </c>
      <c r="D79" s="99" t="s">
        <v>743</v>
      </c>
      <c r="E79" s="203"/>
      <c r="F79" s="124">
        <v>500</v>
      </c>
      <c r="G79" s="207"/>
    </row>
    <row r="80" spans="1:7" s="98" customFormat="1" ht="12.75">
      <c r="A80" s="198"/>
      <c r="B80" s="198"/>
      <c r="C80" s="195" t="s">
        <v>126</v>
      </c>
      <c r="D80" s="99" t="s">
        <v>744</v>
      </c>
      <c r="E80" s="203"/>
      <c r="F80" s="124">
        <v>0</v>
      </c>
      <c r="G80" s="207"/>
    </row>
    <row r="81" spans="1:7" s="98" customFormat="1" ht="26.25" customHeight="1">
      <c r="A81" s="198"/>
      <c r="B81" s="198"/>
      <c r="C81" s="195" t="s">
        <v>28</v>
      </c>
      <c r="D81" s="99" t="s">
        <v>42</v>
      </c>
      <c r="E81" s="203"/>
      <c r="F81" s="124">
        <v>104000</v>
      </c>
      <c r="G81" s="207"/>
    </row>
    <row r="82" spans="1:7" s="98" customFormat="1" ht="12.75">
      <c r="A82" s="198"/>
      <c r="B82" s="198"/>
      <c r="C82" s="195" t="s">
        <v>6</v>
      </c>
      <c r="D82" s="99" t="s">
        <v>7</v>
      </c>
      <c r="E82" s="203"/>
      <c r="F82" s="124">
        <v>100000</v>
      </c>
      <c r="G82" s="207"/>
    </row>
    <row r="83" spans="1:7" s="98" customFormat="1" ht="12.75">
      <c r="A83" s="179"/>
      <c r="B83" s="179"/>
      <c r="C83" s="195" t="s">
        <v>29</v>
      </c>
      <c r="D83" s="99" t="s">
        <v>30</v>
      </c>
      <c r="E83" s="203"/>
      <c r="F83" s="124">
        <v>1000</v>
      </c>
      <c r="G83" s="207"/>
    </row>
    <row r="84" spans="1:7" s="98" customFormat="1" ht="12.75">
      <c r="A84" s="179"/>
      <c r="B84" s="179"/>
      <c r="C84" s="195" t="s">
        <v>186</v>
      </c>
      <c r="D84" s="99"/>
      <c r="E84" s="203"/>
      <c r="F84" s="124">
        <v>10000</v>
      </c>
      <c r="G84" s="207"/>
    </row>
    <row r="85" spans="1:7" s="98" customFormat="1" ht="12.75">
      <c r="A85" s="198"/>
      <c r="B85" s="198"/>
      <c r="C85" s="195" t="s">
        <v>8</v>
      </c>
      <c r="D85" s="99" t="s">
        <v>9</v>
      </c>
      <c r="E85" s="203"/>
      <c r="F85" s="124">
        <v>45000</v>
      </c>
      <c r="G85" s="207"/>
    </row>
    <row r="86" spans="1:7" s="98" customFormat="1" ht="12.75">
      <c r="A86" s="198"/>
      <c r="B86" s="198"/>
      <c r="C86" s="195" t="s">
        <v>10</v>
      </c>
      <c r="D86" s="99" t="s">
        <v>11</v>
      </c>
      <c r="E86" s="203"/>
      <c r="F86" s="124">
        <v>33775</v>
      </c>
      <c r="G86" s="207"/>
    </row>
    <row r="87" spans="1:7" s="98" customFormat="1" ht="12.75">
      <c r="A87" s="198"/>
      <c r="B87" s="198"/>
      <c r="C87" s="195" t="s">
        <v>152</v>
      </c>
      <c r="D87" s="99" t="s">
        <v>153</v>
      </c>
      <c r="E87" s="203"/>
      <c r="F87" s="124">
        <v>10000</v>
      </c>
      <c r="G87" s="207"/>
    </row>
    <row r="88" spans="1:7" s="98" customFormat="1" ht="12.75">
      <c r="A88" s="198"/>
      <c r="B88" s="198"/>
      <c r="C88" s="195" t="s">
        <v>746</v>
      </c>
      <c r="D88" s="99" t="s">
        <v>745</v>
      </c>
      <c r="E88" s="203"/>
      <c r="F88" s="124">
        <v>47000</v>
      </c>
      <c r="G88" s="207"/>
    </row>
    <row r="89" spans="1:7" s="98" customFormat="1" ht="12.75">
      <c r="A89" s="198"/>
      <c r="B89" s="198"/>
      <c r="C89" s="195" t="s">
        <v>12</v>
      </c>
      <c r="D89" s="99" t="s">
        <v>13</v>
      </c>
      <c r="E89" s="203"/>
      <c r="F89" s="124">
        <v>4000</v>
      </c>
      <c r="G89" s="207"/>
    </row>
    <row r="90" spans="1:7" s="98" customFormat="1" ht="12.75">
      <c r="A90" s="198"/>
      <c r="B90" s="198"/>
      <c r="C90" s="195" t="s">
        <v>140</v>
      </c>
      <c r="D90" s="99" t="s">
        <v>141</v>
      </c>
      <c r="E90" s="203"/>
      <c r="F90" s="124">
        <v>0</v>
      </c>
      <c r="G90" s="207"/>
    </row>
    <row r="91" spans="1:7" s="98" customFormat="1" ht="12.75">
      <c r="A91" s="179"/>
      <c r="B91" s="179"/>
      <c r="C91" s="195" t="s">
        <v>747</v>
      </c>
      <c r="D91" s="99" t="s">
        <v>748</v>
      </c>
      <c r="E91" s="203"/>
      <c r="F91" s="124">
        <v>10000</v>
      </c>
      <c r="G91" s="207"/>
    </row>
    <row r="92" spans="1:7" s="98" customFormat="1" ht="25.5">
      <c r="A92" s="198"/>
      <c r="B92" s="198"/>
      <c r="C92" s="195" t="s">
        <v>15</v>
      </c>
      <c r="D92" s="99" t="s">
        <v>16</v>
      </c>
      <c r="E92" s="203"/>
      <c r="F92" s="124">
        <v>755</v>
      </c>
      <c r="G92" s="207"/>
    </row>
    <row r="93" spans="1:7" s="98" customFormat="1" ht="27.75" customHeight="1">
      <c r="A93" s="198"/>
      <c r="B93" s="198"/>
      <c r="C93" s="195" t="s">
        <v>31</v>
      </c>
      <c r="D93" s="99" t="s">
        <v>32</v>
      </c>
      <c r="E93" s="203"/>
      <c r="F93" s="124">
        <v>5000</v>
      </c>
      <c r="G93" s="207"/>
    </row>
    <row r="94" spans="1:7" s="98" customFormat="1" ht="12.75">
      <c r="A94" s="198"/>
      <c r="B94" s="198"/>
      <c r="C94" s="195" t="s">
        <v>33</v>
      </c>
      <c r="D94" s="99" t="s">
        <v>34</v>
      </c>
      <c r="E94" s="203"/>
      <c r="F94" s="124">
        <v>225</v>
      </c>
      <c r="G94" s="207"/>
    </row>
    <row r="95" spans="1:7" s="98" customFormat="1" ht="25.5">
      <c r="A95" s="198"/>
      <c r="B95" s="198"/>
      <c r="C95" s="204" t="s">
        <v>35</v>
      </c>
      <c r="D95" s="99" t="s">
        <v>36</v>
      </c>
      <c r="E95" s="203"/>
      <c r="F95" s="124">
        <v>0</v>
      </c>
      <c r="G95" s="207"/>
    </row>
    <row r="96" spans="1:7" s="98" customFormat="1" ht="41.25" customHeight="1">
      <c r="A96" s="198"/>
      <c r="B96" s="201"/>
      <c r="C96" s="204" t="s">
        <v>749</v>
      </c>
      <c r="D96" s="99" t="s">
        <v>750</v>
      </c>
      <c r="E96" s="203"/>
      <c r="F96" s="124"/>
      <c r="G96" s="203">
        <v>7000</v>
      </c>
    </row>
    <row r="97" spans="1:7" s="98" customFormat="1" ht="12.75">
      <c r="A97" s="198"/>
      <c r="B97" s="190" t="s">
        <v>579</v>
      </c>
      <c r="C97" s="195"/>
      <c r="D97" s="95" t="s">
        <v>580</v>
      </c>
      <c r="E97" s="191">
        <f>SUM(E98:E98)</f>
        <v>0</v>
      </c>
      <c r="F97" s="126">
        <f>SUM(F99:F99)</f>
        <v>0</v>
      </c>
      <c r="G97" s="126">
        <f>SUM(G99:G99)</f>
        <v>0</v>
      </c>
    </row>
    <row r="98" spans="1:7" s="98" customFormat="1" ht="62.25" customHeight="1">
      <c r="A98" s="198"/>
      <c r="B98" s="189"/>
      <c r="C98" s="204" t="s">
        <v>556</v>
      </c>
      <c r="D98" s="205" t="s">
        <v>751</v>
      </c>
      <c r="E98" s="203">
        <v>0</v>
      </c>
      <c r="F98" s="124"/>
      <c r="G98" s="197"/>
    </row>
    <row r="99" spans="1:7" s="98" customFormat="1" ht="25.5">
      <c r="A99" s="201"/>
      <c r="B99" s="201"/>
      <c r="C99" s="195" t="s">
        <v>17</v>
      </c>
      <c r="D99" s="99" t="s">
        <v>18</v>
      </c>
      <c r="E99" s="203"/>
      <c r="F99" s="124">
        <v>0</v>
      </c>
      <c r="G99" s="197"/>
    </row>
    <row r="100" spans="1:7" s="98" customFormat="1" ht="18" customHeight="1">
      <c r="A100" s="198" t="s">
        <v>612</v>
      </c>
      <c r="B100" s="201"/>
      <c r="C100" s="190"/>
      <c r="D100" s="95" t="s">
        <v>613</v>
      </c>
      <c r="E100" s="191">
        <f>E101</f>
        <v>967000</v>
      </c>
      <c r="F100" s="191">
        <f>F101</f>
        <v>967000</v>
      </c>
      <c r="G100" s="191">
        <f>G101</f>
        <v>0</v>
      </c>
    </row>
    <row r="101" spans="1:7" s="98" customFormat="1" ht="51">
      <c r="A101" s="189"/>
      <c r="B101" s="192" t="s">
        <v>617</v>
      </c>
      <c r="C101" s="190"/>
      <c r="D101" s="95" t="s">
        <v>618</v>
      </c>
      <c r="E101" s="191">
        <f>SUM(E102:E102)</f>
        <v>967000</v>
      </c>
      <c r="F101" s="126">
        <f>SUM(F103:F103)</f>
        <v>967000</v>
      </c>
      <c r="G101" s="126">
        <f>SUM(G103:G103)</f>
        <v>0</v>
      </c>
    </row>
    <row r="102" spans="1:7" s="98" customFormat="1" ht="63.75">
      <c r="A102" s="194"/>
      <c r="B102" s="189"/>
      <c r="C102" s="204" t="s">
        <v>524</v>
      </c>
      <c r="D102" s="205" t="s">
        <v>525</v>
      </c>
      <c r="E102" s="376">
        <v>967000</v>
      </c>
      <c r="F102" s="373"/>
      <c r="G102" s="206"/>
    </row>
    <row r="103" spans="1:7" s="98" customFormat="1" ht="12.75">
      <c r="A103" s="200"/>
      <c r="B103" s="201"/>
      <c r="C103" s="195" t="s">
        <v>37</v>
      </c>
      <c r="D103" s="99" t="s">
        <v>38</v>
      </c>
      <c r="E103" s="203"/>
      <c r="F103" s="124">
        <v>967000</v>
      </c>
      <c r="G103" s="197"/>
    </row>
    <row r="104" spans="1:7" s="98" customFormat="1" ht="18.75" customHeight="1">
      <c r="A104" s="190">
        <v>852</v>
      </c>
      <c r="B104" s="195"/>
      <c r="C104" s="190"/>
      <c r="D104" s="95" t="s">
        <v>39</v>
      </c>
      <c r="E104" s="191">
        <f>SUM(E105)</f>
        <v>324000</v>
      </c>
      <c r="F104" s="191">
        <f>SUM(F105)</f>
        <v>324000</v>
      </c>
      <c r="G104" s="191">
        <f>SUM(G105)</f>
        <v>0</v>
      </c>
    </row>
    <row r="105" spans="1:7" s="98" customFormat="1" ht="19.5" customHeight="1">
      <c r="A105" s="190"/>
      <c r="B105" s="195" t="s">
        <v>625</v>
      </c>
      <c r="C105" s="190"/>
      <c r="D105" s="95" t="s">
        <v>626</v>
      </c>
      <c r="E105" s="191">
        <f>SUM(E106:E122)</f>
        <v>324000</v>
      </c>
      <c r="F105" s="191">
        <f>SUM(F107:F122)</f>
        <v>324000</v>
      </c>
      <c r="G105" s="191">
        <f>SUM(G106:G122)</f>
        <v>0</v>
      </c>
    </row>
    <row r="106" spans="1:7" s="98" customFormat="1" ht="63.75">
      <c r="A106" s="425" t="s">
        <v>619</v>
      </c>
      <c r="B106" s="190" t="s">
        <v>625</v>
      </c>
      <c r="C106" s="195" t="s">
        <v>524</v>
      </c>
      <c r="D106" s="99" t="s">
        <v>525</v>
      </c>
      <c r="E106" s="203">
        <v>324000</v>
      </c>
      <c r="F106" s="124"/>
      <c r="G106" s="197"/>
    </row>
    <row r="107" spans="1:7" s="98" customFormat="1" ht="12.75">
      <c r="A107" s="189"/>
      <c r="B107" s="198"/>
      <c r="C107" s="634" t="s">
        <v>21</v>
      </c>
      <c r="D107" s="627" t="s">
        <v>40</v>
      </c>
      <c r="E107" s="617"/>
      <c r="F107" s="619">
        <v>1280</v>
      </c>
      <c r="G107" s="621"/>
    </row>
    <row r="108" spans="1:7" s="98" customFormat="1" ht="12.75">
      <c r="A108" s="198"/>
      <c r="B108" s="198"/>
      <c r="C108" s="626"/>
      <c r="D108" s="616"/>
      <c r="E108" s="618"/>
      <c r="F108" s="620"/>
      <c r="G108" s="622"/>
    </row>
    <row r="109" spans="1:7" s="98" customFormat="1" ht="25.5">
      <c r="A109" s="198"/>
      <c r="B109" s="198"/>
      <c r="C109" s="204" t="s">
        <v>752</v>
      </c>
      <c r="D109" s="205" t="s">
        <v>753</v>
      </c>
      <c r="E109" s="210"/>
      <c r="F109" s="211">
        <v>134531</v>
      </c>
      <c r="G109" s="206"/>
    </row>
    <row r="110" spans="1:7" s="98" customFormat="1" ht="12.75">
      <c r="A110" s="198"/>
      <c r="B110" s="198"/>
      <c r="C110" s="204" t="s">
        <v>1</v>
      </c>
      <c r="D110" s="99" t="s">
        <v>2</v>
      </c>
      <c r="E110" s="210"/>
      <c r="F110" s="211">
        <v>10520</v>
      </c>
      <c r="G110" s="206"/>
    </row>
    <row r="111" spans="1:7" s="98" customFormat="1" ht="12.75">
      <c r="A111" s="198"/>
      <c r="B111" s="198"/>
      <c r="C111" s="204" t="s">
        <v>3</v>
      </c>
      <c r="D111" s="205" t="s">
        <v>4</v>
      </c>
      <c r="E111" s="210"/>
      <c r="F111" s="211">
        <v>26618</v>
      </c>
      <c r="G111" s="206"/>
    </row>
    <row r="112" spans="1:7" s="98" customFormat="1" ht="12.75">
      <c r="A112" s="198"/>
      <c r="B112" s="198"/>
      <c r="C112" s="204" t="s">
        <v>5</v>
      </c>
      <c r="D112" s="205" t="s">
        <v>743</v>
      </c>
      <c r="E112" s="210"/>
      <c r="F112" s="211">
        <v>3554</v>
      </c>
      <c r="G112" s="206"/>
    </row>
    <row r="113" spans="1:7" s="98" customFormat="1" ht="12.75">
      <c r="A113" s="198"/>
      <c r="B113" s="198"/>
      <c r="C113" s="204" t="s">
        <v>126</v>
      </c>
      <c r="D113" s="205" t="s">
        <v>154</v>
      </c>
      <c r="E113" s="210"/>
      <c r="F113" s="211">
        <v>6000</v>
      </c>
      <c r="G113" s="206"/>
    </row>
    <row r="114" spans="1:7" s="98" customFormat="1" ht="12.75">
      <c r="A114" s="198"/>
      <c r="B114" s="198"/>
      <c r="C114" s="204" t="s">
        <v>6</v>
      </c>
      <c r="D114" s="205" t="s">
        <v>7</v>
      </c>
      <c r="E114" s="210"/>
      <c r="F114" s="211">
        <f>21518+5000</f>
        <v>26518</v>
      </c>
      <c r="G114" s="206"/>
    </row>
    <row r="115" spans="1:7" s="98" customFormat="1" ht="12.75">
      <c r="A115" s="198"/>
      <c r="B115" s="198"/>
      <c r="C115" s="204" t="s">
        <v>8</v>
      </c>
      <c r="D115" s="205" t="s">
        <v>9</v>
      </c>
      <c r="E115" s="210"/>
      <c r="F115" s="211">
        <v>25000</v>
      </c>
      <c r="G115" s="206"/>
    </row>
    <row r="116" spans="1:7" s="98" customFormat="1" ht="12.75">
      <c r="A116" s="198"/>
      <c r="B116" s="198"/>
      <c r="C116" s="204" t="s">
        <v>10</v>
      </c>
      <c r="D116" s="205" t="s">
        <v>11</v>
      </c>
      <c r="E116" s="210"/>
      <c r="F116" s="211">
        <f>6000+55000</f>
        <v>61000</v>
      </c>
      <c r="G116" s="206"/>
    </row>
    <row r="117" spans="1:7" s="98" customFormat="1" ht="12.75">
      <c r="A117" s="198"/>
      <c r="B117" s="198"/>
      <c r="C117" s="204" t="s">
        <v>152</v>
      </c>
      <c r="D117" s="205" t="s">
        <v>153</v>
      </c>
      <c r="E117" s="210"/>
      <c r="F117" s="211">
        <v>400</v>
      </c>
      <c r="G117" s="206"/>
    </row>
    <row r="118" spans="1:7" s="98" customFormat="1" ht="12.75">
      <c r="A118" s="198"/>
      <c r="B118" s="198"/>
      <c r="C118" s="195" t="s">
        <v>746</v>
      </c>
      <c r="D118" s="99" t="s">
        <v>745</v>
      </c>
      <c r="E118" s="196"/>
      <c r="F118" s="120">
        <v>18000</v>
      </c>
      <c r="G118" s="197"/>
    </row>
    <row r="119" spans="1:7" s="98" customFormat="1" ht="15.75" customHeight="1">
      <c r="A119" s="198"/>
      <c r="B119" s="198"/>
      <c r="C119" s="195" t="s">
        <v>187</v>
      </c>
      <c r="D119" s="99" t="s">
        <v>219</v>
      </c>
      <c r="E119" s="196"/>
      <c r="F119" s="120">
        <v>2039</v>
      </c>
      <c r="G119" s="197"/>
    </row>
    <row r="120" spans="1:7" s="98" customFormat="1" ht="12.75">
      <c r="A120" s="198"/>
      <c r="B120" s="198"/>
      <c r="C120" s="195" t="s">
        <v>12</v>
      </c>
      <c r="D120" s="99" t="s">
        <v>13</v>
      </c>
      <c r="E120" s="196"/>
      <c r="F120" s="120">
        <v>2000</v>
      </c>
      <c r="G120" s="197"/>
    </row>
    <row r="121" spans="1:7" s="98" customFormat="1" ht="12.75">
      <c r="A121" s="198"/>
      <c r="B121" s="198"/>
      <c r="C121" s="195" t="s">
        <v>747</v>
      </c>
      <c r="D121" s="99" t="s">
        <v>748</v>
      </c>
      <c r="E121" s="196"/>
      <c r="F121" s="120">
        <v>500</v>
      </c>
      <c r="G121" s="197"/>
    </row>
    <row r="122" spans="1:7" s="98" customFormat="1" ht="25.5">
      <c r="A122" s="201"/>
      <c r="B122" s="198"/>
      <c r="C122" s="192" t="s">
        <v>15</v>
      </c>
      <c r="D122" s="208" t="s">
        <v>16</v>
      </c>
      <c r="E122" s="212"/>
      <c r="F122" s="173">
        <v>6040</v>
      </c>
      <c r="G122" s="213"/>
    </row>
    <row r="123" spans="1:7" s="98" customFormat="1" ht="12.75">
      <c r="A123" s="631" t="s">
        <v>41</v>
      </c>
      <c r="B123" s="632"/>
      <c r="C123" s="632"/>
      <c r="D123" s="632"/>
      <c r="E123" s="126">
        <f>E11+E20+E27+E48+E68+E100+E104</f>
        <v>4086647</v>
      </c>
      <c r="F123" s="126">
        <f>F11+F20+F27+F48+F68+F100+F104</f>
        <v>4086647</v>
      </c>
      <c r="G123" s="126">
        <f>G11+G20+G27+G48+G68+G100+G104</f>
        <v>997530</v>
      </c>
    </row>
    <row r="124" spans="6:7" ht="12.75">
      <c r="F124" s="180"/>
      <c r="G124" s="171"/>
    </row>
    <row r="125" spans="6:7" ht="12.75">
      <c r="F125" s="180"/>
      <c r="G125" s="171"/>
    </row>
    <row r="126" spans="6:7" ht="12.75">
      <c r="F126" s="180"/>
      <c r="G126" s="171"/>
    </row>
    <row r="127" spans="6:7" ht="12.75">
      <c r="F127" s="180"/>
      <c r="G127" s="171"/>
    </row>
    <row r="128" spans="6:7" ht="12.75">
      <c r="F128" s="180"/>
      <c r="G128" s="171"/>
    </row>
    <row r="129" spans="6:7" ht="12.75">
      <c r="F129" s="180"/>
      <c r="G129" s="171"/>
    </row>
    <row r="130" spans="6:7" ht="12.75">
      <c r="F130" s="180"/>
      <c r="G130" s="171"/>
    </row>
    <row r="131" spans="6:7" ht="12.75">
      <c r="F131" s="180"/>
      <c r="G131" s="171"/>
    </row>
    <row r="132" spans="6:7" ht="12.75">
      <c r="F132" s="180"/>
      <c r="G132" s="171"/>
    </row>
    <row r="133" spans="6:7" ht="12.75">
      <c r="F133" s="180"/>
      <c r="G133" s="171"/>
    </row>
    <row r="134" spans="6:7" ht="12.75">
      <c r="F134" s="180"/>
      <c r="G134" s="171"/>
    </row>
    <row r="135" spans="6:7" ht="12.75">
      <c r="F135" s="180"/>
      <c r="G135" s="171"/>
    </row>
    <row r="136" spans="6:7" ht="12.75">
      <c r="F136" s="180"/>
      <c r="G136" s="171"/>
    </row>
    <row r="137" spans="6:7" ht="12.75">
      <c r="F137" s="180"/>
      <c r="G137" s="171"/>
    </row>
    <row r="138" spans="6:7" ht="12.75">
      <c r="F138" s="180"/>
      <c r="G138" s="171"/>
    </row>
    <row r="139" spans="6:7" ht="12.75">
      <c r="F139" s="180"/>
      <c r="G139" s="171"/>
    </row>
    <row r="140" spans="6:7" ht="12.75">
      <c r="F140" s="180"/>
      <c r="G140" s="171"/>
    </row>
    <row r="141" spans="6:7" ht="12.75">
      <c r="F141" s="180"/>
      <c r="G141" s="171"/>
    </row>
    <row r="142" spans="6:7" ht="12.75">
      <c r="F142" s="180"/>
      <c r="G142" s="171"/>
    </row>
    <row r="143" spans="6:7" ht="12.75">
      <c r="F143" s="180"/>
      <c r="G143" s="171"/>
    </row>
    <row r="144" spans="6:7" ht="12.75">
      <c r="F144" s="180"/>
      <c r="G144" s="171"/>
    </row>
    <row r="145" spans="6:7" ht="12.75">
      <c r="F145" s="180"/>
      <c r="G145" s="171"/>
    </row>
    <row r="146" spans="6:7" ht="12.75">
      <c r="F146" s="180"/>
      <c r="G146" s="171"/>
    </row>
    <row r="147" spans="6:7" ht="12.75">
      <c r="F147" s="180"/>
      <c r="G147" s="171"/>
    </row>
    <row r="148" spans="6:7" ht="12.75">
      <c r="F148" s="180"/>
      <c r="G148" s="171"/>
    </row>
    <row r="149" spans="6:7" ht="12.75">
      <c r="F149" s="180"/>
      <c r="G149" s="171"/>
    </row>
    <row r="150" spans="6:7" ht="12.75">
      <c r="F150" s="180"/>
      <c r="G150" s="171"/>
    </row>
    <row r="151" spans="6:7" ht="12.75">
      <c r="F151" s="180"/>
      <c r="G151" s="171"/>
    </row>
    <row r="152" spans="6:7" ht="12.75">
      <c r="F152" s="180"/>
      <c r="G152" s="171"/>
    </row>
    <row r="153" spans="6:7" ht="12.75">
      <c r="F153" s="180"/>
      <c r="G153" s="171"/>
    </row>
    <row r="154" spans="6:7" ht="12.75">
      <c r="F154" s="180"/>
      <c r="G154" s="171"/>
    </row>
    <row r="155" spans="6:7" ht="12.75">
      <c r="F155" s="180"/>
      <c r="G155" s="171"/>
    </row>
    <row r="156" spans="6:7" ht="12.75">
      <c r="F156" s="180"/>
      <c r="G156" s="171"/>
    </row>
    <row r="157" spans="6:7" ht="12.75">
      <c r="F157" s="180"/>
      <c r="G157" s="171"/>
    </row>
    <row r="158" spans="6:7" ht="12.75">
      <c r="F158" s="180"/>
      <c r="G158" s="171"/>
    </row>
    <row r="159" spans="6:7" ht="12.75">
      <c r="F159" s="180"/>
      <c r="G159" s="171"/>
    </row>
    <row r="160" spans="6:7" ht="12.75">
      <c r="F160" s="180"/>
      <c r="G160" s="171"/>
    </row>
    <row r="161" spans="6:7" ht="12.75">
      <c r="F161" s="180"/>
      <c r="G161" s="171"/>
    </row>
    <row r="162" spans="6:7" ht="12.75">
      <c r="F162" s="180"/>
      <c r="G162" s="171"/>
    </row>
    <row r="163" spans="6:7" ht="12.75">
      <c r="F163" s="180"/>
      <c r="G163" s="171"/>
    </row>
    <row r="164" spans="6:7" ht="12.75">
      <c r="F164" s="180"/>
      <c r="G164" s="171"/>
    </row>
    <row r="165" spans="6:7" ht="12.75">
      <c r="F165" s="180"/>
      <c r="G165" s="171"/>
    </row>
    <row r="166" spans="6:7" ht="12.75">
      <c r="F166" s="180"/>
      <c r="G166" s="171"/>
    </row>
    <row r="167" spans="6:7" ht="12.75">
      <c r="F167" s="180"/>
      <c r="G167" s="171"/>
    </row>
    <row r="168" spans="6:7" ht="12.75">
      <c r="F168" s="180"/>
      <c r="G168" s="171"/>
    </row>
    <row r="169" spans="6:7" ht="12.75">
      <c r="F169" s="180"/>
      <c r="G169" s="171"/>
    </row>
    <row r="170" spans="6:7" ht="12.75">
      <c r="F170" s="180"/>
      <c r="G170" s="171"/>
    </row>
    <row r="171" spans="6:7" ht="12.75">
      <c r="F171" s="180"/>
      <c r="G171" s="171"/>
    </row>
    <row r="172" spans="6:7" ht="12.75">
      <c r="F172" s="180"/>
      <c r="G172" s="171"/>
    </row>
    <row r="173" spans="6:7" ht="12.75">
      <c r="F173" s="180"/>
      <c r="G173" s="171"/>
    </row>
    <row r="174" spans="6:7" ht="12.75">
      <c r="F174" s="180"/>
      <c r="G174" s="171"/>
    </row>
    <row r="175" spans="6:7" ht="12.75">
      <c r="F175" s="180"/>
      <c r="G175" s="171"/>
    </row>
    <row r="176" spans="6:7" ht="12.75">
      <c r="F176" s="180"/>
      <c r="G176" s="171"/>
    </row>
    <row r="177" spans="6:7" ht="12.75">
      <c r="F177" s="180"/>
      <c r="G177" s="171"/>
    </row>
    <row r="178" spans="6:7" ht="12.75">
      <c r="F178" s="180"/>
      <c r="G178" s="171"/>
    </row>
    <row r="179" spans="6:7" ht="12.75">
      <c r="F179" s="180"/>
      <c r="G179" s="171"/>
    </row>
    <row r="180" spans="6:7" ht="12.75">
      <c r="F180" s="180"/>
      <c r="G180" s="171"/>
    </row>
    <row r="181" spans="6:7" ht="12.75">
      <c r="F181" s="180"/>
      <c r="G181" s="171"/>
    </row>
    <row r="182" spans="6:7" ht="12.75">
      <c r="F182" s="180"/>
      <c r="G182" s="171"/>
    </row>
    <row r="183" spans="6:7" ht="12.75">
      <c r="F183" s="180"/>
      <c r="G183" s="171"/>
    </row>
    <row r="184" spans="6:7" ht="12.75">
      <c r="F184" s="180"/>
      <c r="G184" s="171"/>
    </row>
    <row r="185" spans="6:7" ht="12.75">
      <c r="F185" s="180"/>
      <c r="G185" s="171"/>
    </row>
    <row r="186" spans="6:7" ht="12.75">
      <c r="F186" s="180"/>
      <c r="G186" s="171"/>
    </row>
    <row r="187" spans="6:7" ht="12.75">
      <c r="F187" s="180"/>
      <c r="G187" s="171"/>
    </row>
    <row r="188" spans="6:7" ht="12.75">
      <c r="F188" s="180"/>
      <c r="G188" s="171"/>
    </row>
    <row r="189" spans="6:7" ht="12.75">
      <c r="F189" s="180"/>
      <c r="G189" s="171"/>
    </row>
    <row r="190" spans="6:7" ht="12.75">
      <c r="F190" s="180"/>
      <c r="G190" s="171"/>
    </row>
    <row r="191" spans="6:7" ht="12.75">
      <c r="F191" s="180"/>
      <c r="G191" s="171"/>
    </row>
    <row r="192" spans="6:7" ht="12.75">
      <c r="F192" s="180"/>
      <c r="G192" s="171"/>
    </row>
    <row r="193" spans="6:7" ht="12.75">
      <c r="F193" s="180"/>
      <c r="G193" s="171"/>
    </row>
    <row r="194" spans="6:7" ht="12.75">
      <c r="F194" s="180"/>
      <c r="G194" s="171"/>
    </row>
    <row r="195" spans="6:7" ht="12.75">
      <c r="F195" s="180"/>
      <c r="G195" s="171"/>
    </row>
    <row r="196" spans="6:7" ht="12.75">
      <c r="F196" s="180"/>
      <c r="G196" s="171"/>
    </row>
    <row r="197" spans="6:7" ht="12.75">
      <c r="F197" s="180"/>
      <c r="G197" s="171"/>
    </row>
    <row r="198" spans="6:7" ht="12.75">
      <c r="F198" s="180"/>
      <c r="G198" s="171"/>
    </row>
    <row r="199" spans="6:7" ht="12.75">
      <c r="F199" s="180"/>
      <c r="G199" s="171"/>
    </row>
    <row r="200" spans="6:7" ht="12.75">
      <c r="F200" s="180"/>
      <c r="G200" s="171"/>
    </row>
    <row r="201" spans="6:7" ht="12.75">
      <c r="F201" s="180"/>
      <c r="G201" s="171"/>
    </row>
    <row r="202" spans="6:7" ht="12.75">
      <c r="F202" s="180"/>
      <c r="G202" s="171"/>
    </row>
    <row r="203" spans="6:7" ht="12.75">
      <c r="F203" s="180"/>
      <c r="G203" s="171"/>
    </row>
    <row r="204" spans="6:7" ht="12.75">
      <c r="F204" s="180"/>
      <c r="G204" s="171"/>
    </row>
    <row r="205" spans="6:7" ht="12.75">
      <c r="F205" s="180"/>
      <c r="G205" s="171"/>
    </row>
    <row r="206" spans="6:7" ht="12.75">
      <c r="F206" s="180"/>
      <c r="G206" s="171"/>
    </row>
    <row r="207" spans="6:7" ht="12.75">
      <c r="F207" s="180"/>
      <c r="G207" s="171"/>
    </row>
    <row r="208" spans="6:7" ht="12.75">
      <c r="F208" s="180"/>
      <c r="G208" s="171"/>
    </row>
    <row r="209" spans="6:7" ht="12.75">
      <c r="F209" s="180"/>
      <c r="G209" s="171"/>
    </row>
    <row r="210" spans="6:7" ht="12.75">
      <c r="F210" s="180"/>
      <c r="G210" s="171"/>
    </row>
    <row r="211" spans="6:7" ht="12.75">
      <c r="F211" s="180"/>
      <c r="G211" s="171"/>
    </row>
    <row r="212" spans="6:7" ht="12.75">
      <c r="F212" s="180"/>
      <c r="G212" s="171"/>
    </row>
    <row r="213" spans="6:7" ht="12.75">
      <c r="F213" s="180"/>
      <c r="G213" s="171"/>
    </row>
    <row r="214" spans="6:7" ht="12.75">
      <c r="F214" s="180"/>
      <c r="G214" s="171"/>
    </row>
    <row r="215" spans="6:7" ht="12.75">
      <c r="F215" s="180"/>
      <c r="G215" s="171"/>
    </row>
    <row r="216" spans="6:7" ht="12.75">
      <c r="F216" s="180"/>
      <c r="G216" s="171"/>
    </row>
    <row r="217" spans="6:7" ht="12.75">
      <c r="F217" s="180"/>
      <c r="G217" s="171"/>
    </row>
    <row r="218" spans="6:7" ht="12.75">
      <c r="F218" s="180"/>
      <c r="G218" s="171"/>
    </row>
    <row r="219" spans="6:7" ht="12.75">
      <c r="F219" s="180"/>
      <c r="G219" s="171"/>
    </row>
    <row r="220" spans="6:7" ht="12.75">
      <c r="F220" s="180"/>
      <c r="G220" s="171"/>
    </row>
    <row r="221" spans="6:7" ht="12.75">
      <c r="F221" s="180"/>
      <c r="G221" s="171"/>
    </row>
    <row r="222" spans="6:7" ht="12.75">
      <c r="F222" s="180"/>
      <c r="G222" s="171"/>
    </row>
    <row r="223" spans="6:7" ht="12.75">
      <c r="F223" s="180"/>
      <c r="G223" s="171"/>
    </row>
    <row r="224" spans="6:7" ht="12.75">
      <c r="F224" s="180"/>
      <c r="G224" s="171"/>
    </row>
    <row r="225" spans="6:7" ht="12.75">
      <c r="F225" s="180"/>
      <c r="G225" s="171"/>
    </row>
    <row r="226" spans="6:7" ht="12.75">
      <c r="F226" s="180"/>
      <c r="G226" s="171"/>
    </row>
    <row r="227" spans="6:7" ht="12.75">
      <c r="F227" s="180"/>
      <c r="G227" s="171"/>
    </row>
    <row r="228" spans="6:7" ht="12.75">
      <c r="F228" s="180"/>
      <c r="G228" s="171"/>
    </row>
    <row r="229" spans="6:7" ht="12.75">
      <c r="F229" s="180"/>
      <c r="G229" s="171"/>
    </row>
    <row r="230" spans="6:7" ht="12.75">
      <c r="F230" s="180"/>
      <c r="G230" s="171"/>
    </row>
    <row r="231" spans="6:7" ht="12.75">
      <c r="F231" s="180"/>
      <c r="G231" s="171"/>
    </row>
    <row r="232" spans="6:7" ht="12.75">
      <c r="F232" s="180"/>
      <c r="G232" s="171"/>
    </row>
    <row r="233" spans="6:7" ht="12.75">
      <c r="F233" s="180"/>
      <c r="G233" s="171"/>
    </row>
    <row r="234" spans="6:7" ht="12.75">
      <c r="F234" s="180"/>
      <c r="G234" s="171"/>
    </row>
    <row r="235" spans="6:7" ht="12.75">
      <c r="F235" s="180"/>
      <c r="G235" s="171"/>
    </row>
    <row r="236" spans="6:7" ht="12.75">
      <c r="F236" s="180"/>
      <c r="G236" s="171"/>
    </row>
    <row r="237" spans="6:7" ht="12.75">
      <c r="F237" s="180"/>
      <c r="G237" s="171"/>
    </row>
    <row r="238" spans="6:7" ht="12.75">
      <c r="F238" s="180"/>
      <c r="G238" s="171"/>
    </row>
    <row r="239" spans="6:7" ht="12.75">
      <c r="F239" s="180"/>
      <c r="G239" s="171"/>
    </row>
    <row r="240" spans="6:7" ht="12.75">
      <c r="F240" s="180"/>
      <c r="G240" s="171"/>
    </row>
    <row r="241" spans="6:7" ht="12.75">
      <c r="F241" s="180"/>
      <c r="G241" s="171"/>
    </row>
    <row r="242" spans="6:7" ht="12.75">
      <c r="F242" s="180"/>
      <c r="G242" s="171"/>
    </row>
    <row r="243" spans="6:7" ht="12.75">
      <c r="F243" s="180"/>
      <c r="G243" s="171"/>
    </row>
    <row r="244" spans="6:7" ht="12.75">
      <c r="F244" s="180"/>
      <c r="G244" s="171"/>
    </row>
    <row r="245" spans="6:7" ht="12.75">
      <c r="F245" s="180"/>
      <c r="G245" s="171"/>
    </row>
    <row r="246" spans="6:7" ht="12.75">
      <c r="F246" s="180"/>
      <c r="G246" s="171"/>
    </row>
    <row r="247" spans="6:7" ht="12.75">
      <c r="F247" s="180"/>
      <c r="G247" s="171"/>
    </row>
    <row r="248" spans="6:7" ht="12.75">
      <c r="F248" s="180"/>
      <c r="G248" s="171"/>
    </row>
    <row r="249" spans="6:7" ht="12.75">
      <c r="F249" s="180"/>
      <c r="G249" s="171"/>
    </row>
    <row r="250" spans="6:7" ht="12.75">
      <c r="F250" s="180"/>
      <c r="G250" s="171"/>
    </row>
    <row r="251" spans="6:7" ht="12.75">
      <c r="F251" s="180"/>
      <c r="G251" s="171"/>
    </row>
    <row r="252" spans="6:7" ht="12.75">
      <c r="F252" s="180"/>
      <c r="G252" s="171"/>
    </row>
    <row r="253" spans="6:7" ht="12.75">
      <c r="F253" s="180"/>
      <c r="G253" s="171"/>
    </row>
    <row r="254" spans="6:7" ht="12.75">
      <c r="F254" s="180"/>
      <c r="G254" s="171"/>
    </row>
    <row r="255" spans="6:7" ht="12.75">
      <c r="F255" s="180"/>
      <c r="G255" s="171"/>
    </row>
    <row r="256" spans="6:7" ht="12.75">
      <c r="F256" s="180"/>
      <c r="G256" s="171"/>
    </row>
    <row r="257" spans="6:7" ht="12.75">
      <c r="F257" s="180"/>
      <c r="G257" s="171"/>
    </row>
    <row r="258" spans="6:7" ht="12.75">
      <c r="F258" s="180"/>
      <c r="G258" s="171"/>
    </row>
    <row r="259" spans="6:7" ht="12.75">
      <c r="F259" s="180"/>
      <c r="G259" s="171"/>
    </row>
    <row r="260" spans="6:7" ht="12.75">
      <c r="F260" s="180"/>
      <c r="G260" s="171"/>
    </row>
    <row r="261" spans="6:7" ht="12.75">
      <c r="F261" s="180"/>
      <c r="G261" s="171"/>
    </row>
    <row r="262" spans="6:7" ht="12.75">
      <c r="F262" s="180"/>
      <c r="G262" s="171"/>
    </row>
    <row r="263" spans="6:7" ht="12.75">
      <c r="F263" s="180"/>
      <c r="G263" s="171"/>
    </row>
    <row r="264" spans="6:7" ht="12.75">
      <c r="F264" s="180"/>
      <c r="G264" s="171"/>
    </row>
    <row r="265" spans="6:7" ht="12.75">
      <c r="F265" s="180"/>
      <c r="G265" s="171"/>
    </row>
    <row r="266" spans="6:7" ht="12.75">
      <c r="F266" s="180"/>
      <c r="G266" s="171"/>
    </row>
    <row r="267" spans="6:7" ht="12.75">
      <c r="F267" s="180"/>
      <c r="G267" s="171"/>
    </row>
    <row r="268" spans="6:7" ht="12.75">
      <c r="F268" s="180"/>
      <c r="G268" s="171"/>
    </row>
    <row r="269" spans="6:7" ht="12.75">
      <c r="F269" s="180"/>
      <c r="G269" s="171"/>
    </row>
    <row r="270" spans="6:7" ht="12.75">
      <c r="F270" s="180"/>
      <c r="G270" s="171"/>
    </row>
    <row r="271" spans="6:7" ht="12.75">
      <c r="F271" s="180"/>
      <c r="G271" s="171"/>
    </row>
    <row r="272" spans="6:7" ht="12.75">
      <c r="F272" s="180"/>
      <c r="G272" s="171"/>
    </row>
    <row r="273" spans="6:7" ht="12.75">
      <c r="F273" s="180"/>
      <c r="G273" s="171"/>
    </row>
    <row r="274" spans="6:7" ht="12.75">
      <c r="F274" s="180"/>
      <c r="G274" s="171"/>
    </row>
    <row r="275" spans="6:7" ht="12.75">
      <c r="F275" s="180"/>
      <c r="G275" s="171"/>
    </row>
    <row r="276" spans="6:7" ht="12.75">
      <c r="F276" s="180"/>
      <c r="G276" s="171"/>
    </row>
    <row r="277" spans="6:7" ht="12.75">
      <c r="F277" s="180"/>
      <c r="G277" s="171"/>
    </row>
    <row r="278" spans="6:7" ht="12.75">
      <c r="F278" s="180"/>
      <c r="G278" s="171"/>
    </row>
    <row r="279" spans="6:7" ht="12.75">
      <c r="F279" s="180"/>
      <c r="G279" s="171"/>
    </row>
    <row r="280" spans="6:7" ht="12.75">
      <c r="F280" s="180"/>
      <c r="G280" s="171"/>
    </row>
    <row r="281" spans="6:7" ht="12.75">
      <c r="F281" s="180"/>
      <c r="G281" s="171"/>
    </row>
    <row r="282" spans="6:7" ht="12.75">
      <c r="F282" s="180"/>
      <c r="G282" s="171"/>
    </row>
    <row r="283" spans="6:7" ht="12.75">
      <c r="F283" s="180"/>
      <c r="G283" s="171"/>
    </row>
    <row r="284" spans="6:7" ht="12.75">
      <c r="F284" s="180"/>
      <c r="G284" s="171"/>
    </row>
    <row r="285" spans="6:7" ht="12.75">
      <c r="F285" s="180"/>
      <c r="G285" s="171"/>
    </row>
    <row r="286" spans="6:7" ht="12.75">
      <c r="F286" s="180"/>
      <c r="G286" s="171"/>
    </row>
    <row r="287" spans="6:7" ht="12.75">
      <c r="F287" s="180"/>
      <c r="G287" s="171"/>
    </row>
    <row r="288" spans="6:7" ht="12.75">
      <c r="F288" s="180"/>
      <c r="G288" s="171"/>
    </row>
    <row r="289" spans="6:7" ht="12.75">
      <c r="F289" s="180"/>
      <c r="G289" s="171"/>
    </row>
    <row r="290" spans="6:7" ht="12.75">
      <c r="F290" s="180"/>
      <c r="G290" s="171"/>
    </row>
    <row r="291" spans="6:7" ht="12.75">
      <c r="F291" s="180"/>
      <c r="G291" s="171"/>
    </row>
    <row r="292" spans="6:7" ht="12.75">
      <c r="F292" s="180"/>
      <c r="G292" s="171"/>
    </row>
    <row r="293" spans="6:7" ht="12.75">
      <c r="F293" s="180"/>
      <c r="G293" s="171"/>
    </row>
    <row r="294" spans="6:7" ht="12.75">
      <c r="F294" s="180"/>
      <c r="G294" s="171"/>
    </row>
    <row r="295" spans="6:7" ht="12.75">
      <c r="F295" s="180"/>
      <c r="G295" s="171"/>
    </row>
    <row r="296" spans="6:7" ht="12.75">
      <c r="F296" s="180"/>
      <c r="G296" s="171"/>
    </row>
    <row r="297" spans="6:7" ht="12.75">
      <c r="F297" s="180"/>
      <c r="G297" s="171"/>
    </row>
    <row r="298" spans="6:7" ht="12.75">
      <c r="F298" s="180"/>
      <c r="G298" s="171"/>
    </row>
    <row r="299" spans="6:7" ht="12.75">
      <c r="F299" s="180"/>
      <c r="G299" s="171"/>
    </row>
    <row r="300" spans="6:7" ht="12.75">
      <c r="F300" s="180"/>
      <c r="G300" s="171"/>
    </row>
    <row r="301" spans="6:7" ht="12.75">
      <c r="F301" s="180"/>
      <c r="G301" s="171"/>
    </row>
    <row r="302" spans="6:7" ht="12.75">
      <c r="F302" s="180"/>
      <c r="G302" s="171"/>
    </row>
    <row r="303" spans="6:7" ht="12.75">
      <c r="F303" s="180"/>
      <c r="G303" s="171"/>
    </row>
    <row r="304" spans="6:7" ht="12.75">
      <c r="F304" s="180"/>
      <c r="G304" s="171"/>
    </row>
    <row r="305" spans="6:7" ht="12.75">
      <c r="F305" s="180"/>
      <c r="G305" s="171"/>
    </row>
    <row r="306" spans="6:7" ht="12.75">
      <c r="F306" s="180"/>
      <c r="G306" s="171"/>
    </row>
    <row r="307" spans="6:7" ht="12.75">
      <c r="F307" s="180"/>
      <c r="G307" s="171"/>
    </row>
    <row r="308" spans="6:7" ht="12.75">
      <c r="F308" s="180"/>
      <c r="G308" s="171"/>
    </row>
    <row r="309" spans="6:7" ht="12.75">
      <c r="F309" s="180"/>
      <c r="G309" s="171"/>
    </row>
    <row r="310" spans="6:7" ht="12.75">
      <c r="F310" s="180"/>
      <c r="G310" s="171"/>
    </row>
    <row r="311" spans="6:7" ht="12.75">
      <c r="F311" s="180"/>
      <c r="G311" s="171"/>
    </row>
    <row r="312" spans="6:7" ht="12.75">
      <c r="F312" s="180"/>
      <c r="G312" s="171"/>
    </row>
    <row r="313" spans="6:7" ht="12.75">
      <c r="F313" s="180"/>
      <c r="G313" s="171"/>
    </row>
    <row r="314" spans="6:7" ht="12.75">
      <c r="F314" s="180"/>
      <c r="G314" s="171"/>
    </row>
    <row r="315" spans="6:7" ht="12.75">
      <c r="F315" s="180"/>
      <c r="G315" s="171"/>
    </row>
    <row r="316" spans="6:7" ht="12.75">
      <c r="F316" s="180"/>
      <c r="G316" s="171"/>
    </row>
    <row r="317" spans="6:7" ht="12.75">
      <c r="F317" s="180"/>
      <c r="G317" s="171"/>
    </row>
    <row r="318" spans="6:7" ht="12.75">
      <c r="F318" s="180"/>
      <c r="G318" s="171"/>
    </row>
    <row r="319" spans="6:7" ht="12.75">
      <c r="F319" s="180"/>
      <c r="G319" s="171"/>
    </row>
    <row r="320" spans="6:7" ht="12.75">
      <c r="F320" s="180"/>
      <c r="G320" s="171"/>
    </row>
    <row r="321" spans="6:7" ht="12.75">
      <c r="F321" s="180"/>
      <c r="G321" s="171"/>
    </row>
    <row r="322" spans="6:7" ht="12.75">
      <c r="F322" s="180"/>
      <c r="G322" s="171"/>
    </row>
    <row r="323" spans="6:7" ht="12.75">
      <c r="F323" s="180"/>
      <c r="G323" s="171"/>
    </row>
    <row r="324" spans="6:7" ht="12.75">
      <c r="F324" s="180"/>
      <c r="G324" s="171"/>
    </row>
    <row r="325" spans="6:7" ht="12.75">
      <c r="F325" s="180"/>
      <c r="G325" s="171"/>
    </row>
    <row r="326" spans="6:7" ht="12.75">
      <c r="F326" s="180"/>
      <c r="G326" s="171"/>
    </row>
    <row r="327" spans="6:7" ht="12.75">
      <c r="F327" s="180"/>
      <c r="G327" s="171"/>
    </row>
    <row r="328" spans="6:7" ht="12.75">
      <c r="F328" s="180"/>
      <c r="G328" s="171"/>
    </row>
    <row r="329" spans="6:7" ht="12.75">
      <c r="F329" s="180"/>
      <c r="G329" s="171"/>
    </row>
    <row r="330" spans="6:7" ht="12.75">
      <c r="F330" s="180"/>
      <c r="G330" s="171"/>
    </row>
    <row r="331" spans="6:7" ht="12.75">
      <c r="F331" s="180"/>
      <c r="G331" s="171"/>
    </row>
    <row r="332" spans="6:7" ht="12.75">
      <c r="F332" s="180"/>
      <c r="G332" s="171"/>
    </row>
    <row r="333" spans="6:7" ht="12.75">
      <c r="F333" s="180"/>
      <c r="G333" s="171"/>
    </row>
    <row r="334" spans="6:7" ht="12.75">
      <c r="F334" s="180"/>
      <c r="G334" s="171"/>
    </row>
    <row r="335" spans="6:7" ht="12.75">
      <c r="F335" s="180"/>
      <c r="G335" s="171"/>
    </row>
    <row r="336" spans="6:7" ht="12.75">
      <c r="F336" s="180"/>
      <c r="G336" s="171"/>
    </row>
    <row r="337" spans="6:7" ht="12.75">
      <c r="F337" s="180"/>
      <c r="G337" s="171"/>
    </row>
    <row r="338" spans="6:7" ht="12.75">
      <c r="F338" s="180"/>
      <c r="G338" s="171"/>
    </row>
    <row r="339" spans="6:7" ht="12.75">
      <c r="F339" s="180"/>
      <c r="G339" s="171"/>
    </row>
    <row r="340" spans="6:7" ht="12.75">
      <c r="F340" s="180"/>
      <c r="G340" s="171"/>
    </row>
    <row r="341" spans="6:7" ht="12.75">
      <c r="F341" s="180"/>
      <c r="G341" s="171"/>
    </row>
    <row r="342" spans="6:7" ht="12.75">
      <c r="F342" s="180"/>
      <c r="G342" s="171"/>
    </row>
    <row r="343" spans="6:7" ht="12.75">
      <c r="F343" s="180"/>
      <c r="G343" s="171"/>
    </row>
    <row r="344" spans="6:7" ht="12.75">
      <c r="F344" s="180"/>
      <c r="G344" s="171"/>
    </row>
    <row r="345" spans="6:7" ht="12.75">
      <c r="F345" s="180"/>
      <c r="G345" s="171"/>
    </row>
    <row r="346" spans="6:7" ht="12.75">
      <c r="F346" s="180"/>
      <c r="G346" s="171"/>
    </row>
    <row r="347" spans="6:7" ht="12.75">
      <c r="F347" s="180"/>
      <c r="G347" s="171"/>
    </row>
    <row r="348" spans="6:7" ht="12.75">
      <c r="F348" s="180"/>
      <c r="G348" s="171"/>
    </row>
    <row r="349" spans="6:7" ht="12.75">
      <c r="F349" s="180"/>
      <c r="G349" s="171"/>
    </row>
    <row r="350" spans="6:7" ht="12.75">
      <c r="F350" s="180"/>
      <c r="G350" s="171"/>
    </row>
    <row r="351" spans="6:7" ht="12.75">
      <c r="F351" s="180"/>
      <c r="G351" s="171"/>
    </row>
    <row r="352" spans="6:7" ht="12.75">
      <c r="F352" s="180"/>
      <c r="G352" s="171"/>
    </row>
    <row r="353" spans="6:7" ht="12.75">
      <c r="F353" s="180"/>
      <c r="G353" s="171"/>
    </row>
    <row r="354" spans="6:7" ht="12.75">
      <c r="F354" s="180"/>
      <c r="G354" s="171"/>
    </row>
    <row r="355" spans="6:7" ht="12.75">
      <c r="F355" s="180"/>
      <c r="G355" s="171"/>
    </row>
    <row r="356" spans="6:7" ht="12.75">
      <c r="F356" s="180"/>
      <c r="G356" s="171"/>
    </row>
    <row r="357" spans="6:7" ht="12.75">
      <c r="F357" s="180"/>
      <c r="G357" s="171"/>
    </row>
    <row r="358" spans="6:7" ht="12.75">
      <c r="F358" s="180"/>
      <c r="G358" s="171"/>
    </row>
    <row r="359" spans="6:7" ht="12.75">
      <c r="F359" s="180"/>
      <c r="G359" s="171"/>
    </row>
    <row r="360" spans="6:7" ht="12.75">
      <c r="F360" s="180"/>
      <c r="G360" s="171"/>
    </row>
    <row r="361" spans="6:7" ht="12.75">
      <c r="F361" s="180"/>
      <c r="G361" s="171"/>
    </row>
    <row r="362" spans="6:7" ht="12.75">
      <c r="F362" s="180"/>
      <c r="G362" s="171"/>
    </row>
    <row r="363" spans="6:7" ht="12.75">
      <c r="F363" s="180"/>
      <c r="G363" s="171"/>
    </row>
    <row r="364" spans="6:7" ht="12.75">
      <c r="F364" s="180"/>
      <c r="G364" s="171"/>
    </row>
    <row r="365" spans="6:7" ht="12.75">
      <c r="F365" s="180"/>
      <c r="G365" s="171"/>
    </row>
    <row r="366" spans="6:7" ht="12.75">
      <c r="F366" s="180"/>
      <c r="G366" s="171"/>
    </row>
    <row r="367" spans="6:7" ht="12.75">
      <c r="F367" s="180"/>
      <c r="G367" s="171"/>
    </row>
    <row r="368" spans="6:7" ht="12.75">
      <c r="F368" s="180"/>
      <c r="G368" s="171"/>
    </row>
    <row r="369" spans="6:7" ht="12.75">
      <c r="F369" s="180"/>
      <c r="G369" s="171"/>
    </row>
    <row r="370" spans="6:7" ht="12.75">
      <c r="F370" s="180"/>
      <c r="G370" s="171"/>
    </row>
    <row r="371" spans="6:7" ht="12.75">
      <c r="F371" s="180"/>
      <c r="G371" s="171"/>
    </row>
    <row r="372" spans="6:7" ht="12.75">
      <c r="F372" s="180"/>
      <c r="G372" s="171"/>
    </row>
    <row r="373" spans="6:7" ht="12.75">
      <c r="F373" s="180"/>
      <c r="G373" s="171"/>
    </row>
    <row r="374" spans="6:7" ht="12.75">
      <c r="F374" s="180"/>
      <c r="G374" s="171"/>
    </row>
    <row r="375" spans="6:7" ht="12.75">
      <c r="F375" s="180"/>
      <c r="G375" s="171"/>
    </row>
    <row r="376" spans="6:7" ht="12.75">
      <c r="F376" s="180"/>
      <c r="G376" s="171"/>
    </row>
    <row r="377" spans="6:7" ht="12.75">
      <c r="F377" s="180"/>
      <c r="G377" s="171"/>
    </row>
    <row r="378" spans="6:7" ht="12.75">
      <c r="F378" s="180"/>
      <c r="G378" s="171"/>
    </row>
    <row r="379" spans="6:7" ht="12.75">
      <c r="F379" s="180"/>
      <c r="G379" s="171"/>
    </row>
    <row r="380" spans="6:7" ht="12.75">
      <c r="F380" s="180"/>
      <c r="G380" s="171"/>
    </row>
    <row r="381" spans="6:7" ht="12.75">
      <c r="F381" s="180"/>
      <c r="G381" s="171"/>
    </row>
    <row r="382" spans="6:7" ht="12.75">
      <c r="F382" s="180"/>
      <c r="G382" s="171"/>
    </row>
    <row r="383" spans="6:7" ht="12.75">
      <c r="F383" s="180"/>
      <c r="G383" s="171"/>
    </row>
    <row r="384" spans="6:7" ht="12.75">
      <c r="F384" s="180"/>
      <c r="G384" s="171"/>
    </row>
    <row r="385" spans="6:7" ht="12.75">
      <c r="F385" s="180"/>
      <c r="G385" s="171"/>
    </row>
    <row r="386" spans="6:7" ht="12.75">
      <c r="F386" s="180"/>
      <c r="G386" s="171"/>
    </row>
    <row r="387" spans="6:7" ht="12.75">
      <c r="F387" s="180"/>
      <c r="G387" s="171"/>
    </row>
    <row r="388" spans="6:7" ht="12.75">
      <c r="F388" s="180"/>
      <c r="G388" s="171"/>
    </row>
    <row r="389" spans="6:7" ht="12.75">
      <c r="F389" s="180"/>
      <c r="G389" s="171"/>
    </row>
    <row r="390" spans="6:7" ht="12.75">
      <c r="F390" s="180"/>
      <c r="G390" s="171"/>
    </row>
    <row r="391" spans="6:7" ht="12.75">
      <c r="F391" s="180"/>
      <c r="G391" s="171"/>
    </row>
    <row r="392" spans="6:7" ht="12.75">
      <c r="F392" s="180"/>
      <c r="G392" s="171"/>
    </row>
    <row r="393" spans="6:7" ht="12.75">
      <c r="F393" s="180"/>
      <c r="G393" s="171"/>
    </row>
    <row r="394" spans="6:7" ht="12.75">
      <c r="F394" s="180"/>
      <c r="G394" s="171"/>
    </row>
    <row r="395" spans="6:7" ht="12.75">
      <c r="F395" s="180"/>
      <c r="G395" s="171"/>
    </row>
    <row r="396" spans="6:7" ht="12.75">
      <c r="F396" s="180"/>
      <c r="G396" s="171"/>
    </row>
    <row r="397" spans="6:7" ht="12.75">
      <c r="F397" s="180"/>
      <c r="G397" s="171"/>
    </row>
    <row r="398" spans="6:7" ht="12.75">
      <c r="F398" s="180"/>
      <c r="G398" s="171"/>
    </row>
    <row r="399" spans="6:7" ht="12.75">
      <c r="F399" s="180"/>
      <c r="G399" s="171"/>
    </row>
    <row r="400" spans="6:7" ht="12.75">
      <c r="F400" s="180"/>
      <c r="G400" s="171"/>
    </row>
    <row r="401" spans="6:7" ht="12.75">
      <c r="F401" s="180"/>
      <c r="G401" s="171"/>
    </row>
    <row r="402" spans="6:7" ht="12.75">
      <c r="F402" s="180"/>
      <c r="G402" s="171"/>
    </row>
    <row r="403" spans="6:7" ht="12.75">
      <c r="F403" s="180"/>
      <c r="G403" s="171"/>
    </row>
    <row r="404" spans="6:7" ht="12.75">
      <c r="F404" s="180"/>
      <c r="G404" s="171"/>
    </row>
    <row r="405" spans="6:7" ht="12.75">
      <c r="F405" s="180"/>
      <c r="G405" s="171"/>
    </row>
    <row r="406" spans="6:7" ht="12.75">
      <c r="F406" s="180"/>
      <c r="G406" s="171"/>
    </row>
    <row r="407" spans="6:7" ht="12.75">
      <c r="F407" s="180"/>
      <c r="G407" s="171"/>
    </row>
    <row r="408" spans="6:7" ht="12.75">
      <c r="F408" s="180"/>
      <c r="G408" s="171"/>
    </row>
    <row r="409" spans="6:7" ht="12.75">
      <c r="F409" s="180"/>
      <c r="G409" s="171"/>
    </row>
    <row r="410" spans="6:7" ht="12.75">
      <c r="F410" s="180"/>
      <c r="G410" s="171"/>
    </row>
    <row r="411" spans="6:7" ht="12.75">
      <c r="F411" s="180"/>
      <c r="G411" s="171"/>
    </row>
    <row r="412" spans="6:7" ht="12.75">
      <c r="F412" s="180"/>
      <c r="G412" s="171"/>
    </row>
    <row r="413" spans="6:7" ht="12.75">
      <c r="F413" s="180"/>
      <c r="G413" s="171"/>
    </row>
    <row r="414" spans="6:7" ht="12.75">
      <c r="F414" s="180"/>
      <c r="G414" s="171"/>
    </row>
    <row r="415" spans="6:7" ht="12.75">
      <c r="F415" s="180"/>
      <c r="G415" s="171"/>
    </row>
    <row r="416" spans="6:7" ht="12.75">
      <c r="F416" s="180"/>
      <c r="G416" s="171"/>
    </row>
    <row r="417" spans="6:7" ht="12.75">
      <c r="F417" s="180"/>
      <c r="G417" s="171"/>
    </row>
    <row r="418" spans="6:7" ht="12.75">
      <c r="F418" s="180"/>
      <c r="G418" s="171"/>
    </row>
    <row r="419" spans="6:7" ht="12.75">
      <c r="F419" s="180"/>
      <c r="G419" s="171"/>
    </row>
    <row r="420" spans="6:7" ht="12.75">
      <c r="F420" s="180"/>
      <c r="G420" s="171"/>
    </row>
    <row r="421" spans="6:7" ht="12.75">
      <c r="F421" s="180"/>
      <c r="G421" s="171"/>
    </row>
    <row r="422" spans="6:7" ht="12.75">
      <c r="F422" s="180"/>
      <c r="G422" s="171"/>
    </row>
    <row r="423" spans="6:7" ht="12.75">
      <c r="F423" s="180"/>
      <c r="G423" s="171"/>
    </row>
    <row r="424" spans="6:7" ht="12.75">
      <c r="F424" s="180"/>
      <c r="G424" s="171"/>
    </row>
    <row r="425" spans="6:7" ht="12.75">
      <c r="F425" s="180"/>
      <c r="G425" s="171"/>
    </row>
    <row r="426" spans="6:7" ht="12.75">
      <c r="F426" s="180"/>
      <c r="G426" s="171"/>
    </row>
    <row r="427" spans="6:7" ht="12.75">
      <c r="F427" s="180"/>
      <c r="G427" s="171"/>
    </row>
    <row r="428" spans="6:7" ht="12.75">
      <c r="F428" s="180"/>
      <c r="G428" s="171"/>
    </row>
    <row r="429" spans="6:7" ht="12.75">
      <c r="F429" s="180"/>
      <c r="G429" s="171"/>
    </row>
    <row r="430" spans="6:7" ht="12.75">
      <c r="F430" s="180"/>
      <c r="G430" s="171"/>
    </row>
    <row r="431" spans="6:7" ht="12.75">
      <c r="F431" s="180"/>
      <c r="G431" s="171"/>
    </row>
    <row r="432" spans="6:7" ht="12.75">
      <c r="F432" s="180"/>
      <c r="G432" s="171"/>
    </row>
    <row r="433" spans="6:7" ht="12.75">
      <c r="F433" s="180"/>
      <c r="G433" s="171"/>
    </row>
    <row r="434" spans="6:7" ht="12.75">
      <c r="F434" s="180"/>
      <c r="G434" s="171"/>
    </row>
    <row r="435" spans="6:7" ht="12.75">
      <c r="F435" s="180"/>
      <c r="G435" s="171"/>
    </row>
    <row r="436" spans="6:7" ht="12.75">
      <c r="F436" s="180"/>
      <c r="G436" s="171"/>
    </row>
    <row r="437" spans="6:7" ht="12.75">
      <c r="F437" s="180"/>
      <c r="G437" s="171"/>
    </row>
    <row r="438" spans="6:7" ht="12.75">
      <c r="F438" s="180"/>
      <c r="G438" s="171"/>
    </row>
    <row r="439" spans="6:7" ht="12.75">
      <c r="F439" s="180"/>
      <c r="G439" s="171"/>
    </row>
    <row r="440" spans="6:7" ht="12.75">
      <c r="F440" s="180"/>
      <c r="G440" s="171"/>
    </row>
    <row r="441" spans="6:7" ht="12.75">
      <c r="F441" s="180"/>
      <c r="G441" s="171"/>
    </row>
    <row r="442" spans="6:7" ht="12.75">
      <c r="F442" s="180"/>
      <c r="G442" s="171"/>
    </row>
    <row r="443" spans="6:7" ht="12.75">
      <c r="F443" s="180"/>
      <c r="G443" s="171"/>
    </row>
    <row r="444" spans="6:7" ht="12.75">
      <c r="F444" s="180"/>
      <c r="G444" s="171"/>
    </row>
    <row r="445" spans="6:7" ht="12.75">
      <c r="F445" s="180"/>
      <c r="G445" s="171"/>
    </row>
    <row r="446" spans="6:7" ht="12.75">
      <c r="F446" s="180"/>
      <c r="G446" s="171"/>
    </row>
    <row r="447" spans="6:7" ht="12.75">
      <c r="F447" s="180"/>
      <c r="G447" s="171"/>
    </row>
    <row r="448" spans="6:7" ht="12.75">
      <c r="F448" s="180"/>
      <c r="G448" s="171"/>
    </row>
    <row r="449" spans="6:7" ht="12.75">
      <c r="F449" s="180"/>
      <c r="G449" s="171"/>
    </row>
    <row r="450" spans="6:7" ht="12.75">
      <c r="F450" s="180"/>
      <c r="G450" s="171"/>
    </row>
    <row r="451" spans="6:7" ht="12.75">
      <c r="F451" s="180"/>
      <c r="G451" s="171"/>
    </row>
    <row r="452" spans="6:7" ht="12.75">
      <c r="F452" s="180"/>
      <c r="G452" s="171"/>
    </row>
    <row r="453" spans="6:7" ht="12.75">
      <c r="F453" s="180"/>
      <c r="G453" s="171"/>
    </row>
    <row r="454" spans="6:7" ht="12.75">
      <c r="F454" s="180"/>
      <c r="G454" s="171"/>
    </row>
    <row r="455" spans="6:7" ht="12.75">
      <c r="F455" s="180"/>
      <c r="G455" s="171"/>
    </row>
    <row r="456" spans="6:7" ht="12.75">
      <c r="F456" s="180"/>
      <c r="G456" s="171"/>
    </row>
    <row r="457" spans="6:7" ht="12.75">
      <c r="F457" s="180"/>
      <c r="G457" s="171"/>
    </row>
    <row r="458" spans="6:7" ht="12.75">
      <c r="F458" s="180"/>
      <c r="G458" s="171"/>
    </row>
    <row r="459" spans="6:7" ht="12.75">
      <c r="F459" s="180"/>
      <c r="G459" s="171"/>
    </row>
    <row r="460" spans="6:7" ht="12.75">
      <c r="F460" s="180"/>
      <c r="G460" s="171"/>
    </row>
    <row r="461" spans="6:7" ht="12.75">
      <c r="F461" s="180"/>
      <c r="G461" s="171"/>
    </row>
    <row r="462" spans="6:7" ht="12.75">
      <c r="F462" s="180"/>
      <c r="G462" s="171"/>
    </row>
    <row r="463" spans="6:7" ht="12.75">
      <c r="F463" s="180"/>
      <c r="G463" s="171"/>
    </row>
    <row r="464" spans="6:7" ht="12.75">
      <c r="F464" s="180"/>
      <c r="G464" s="171"/>
    </row>
    <row r="465" spans="6:7" ht="12.75">
      <c r="F465" s="180"/>
      <c r="G465" s="171"/>
    </row>
    <row r="466" spans="6:7" ht="12.75">
      <c r="F466" s="180"/>
      <c r="G466" s="171"/>
    </row>
    <row r="467" spans="6:7" ht="12.75">
      <c r="F467" s="180"/>
      <c r="G467" s="171"/>
    </row>
    <row r="468" spans="6:7" ht="12.75">
      <c r="F468" s="180"/>
      <c r="G468" s="171"/>
    </row>
    <row r="469" spans="6:7" ht="12.75">
      <c r="F469" s="180"/>
      <c r="G469" s="171"/>
    </row>
    <row r="470" spans="6:7" ht="12.75">
      <c r="F470" s="180"/>
      <c r="G470" s="171"/>
    </row>
    <row r="471" spans="6:7" ht="12.75">
      <c r="F471" s="180"/>
      <c r="G471" s="171"/>
    </row>
    <row r="472" spans="6:7" ht="12.75">
      <c r="F472" s="180"/>
      <c r="G472" s="171"/>
    </row>
    <row r="473" spans="6:7" ht="12.75">
      <c r="F473" s="180"/>
      <c r="G473" s="171"/>
    </row>
    <row r="474" spans="6:7" ht="12.75">
      <c r="F474" s="180"/>
      <c r="G474" s="171"/>
    </row>
    <row r="475" spans="6:7" ht="12.75">
      <c r="F475" s="180"/>
      <c r="G475" s="171"/>
    </row>
    <row r="476" spans="6:7" ht="12.75">
      <c r="F476" s="180"/>
      <c r="G476" s="171"/>
    </row>
    <row r="477" spans="6:7" ht="12.75">
      <c r="F477" s="180"/>
      <c r="G477" s="171"/>
    </row>
    <row r="478" spans="6:7" ht="12.75">
      <c r="F478" s="180"/>
      <c r="G478" s="171"/>
    </row>
    <row r="479" spans="6:7" ht="12.75">
      <c r="F479" s="180"/>
      <c r="G479" s="171"/>
    </row>
    <row r="480" spans="6:7" ht="12.75">
      <c r="F480" s="180"/>
      <c r="G480" s="171"/>
    </row>
    <row r="481" spans="6:7" ht="12.75">
      <c r="F481" s="180"/>
      <c r="G481" s="171"/>
    </row>
    <row r="482" spans="6:7" ht="12.75">
      <c r="F482" s="180"/>
      <c r="G482" s="171"/>
    </row>
    <row r="483" spans="6:7" ht="12.75">
      <c r="F483" s="180"/>
      <c r="G483" s="171"/>
    </row>
    <row r="484" spans="6:7" ht="12.75">
      <c r="F484" s="180"/>
      <c r="G484" s="171"/>
    </row>
    <row r="485" spans="6:7" ht="12.75">
      <c r="F485" s="180"/>
      <c r="G485" s="171"/>
    </row>
    <row r="486" spans="6:7" ht="12.75">
      <c r="F486" s="180"/>
      <c r="G486" s="171"/>
    </row>
    <row r="487" spans="6:7" ht="12.75">
      <c r="F487" s="180"/>
      <c r="G487" s="171"/>
    </row>
    <row r="488" spans="6:7" ht="12.75">
      <c r="F488" s="180"/>
      <c r="G488" s="171"/>
    </row>
    <row r="489" spans="6:7" ht="12.75">
      <c r="F489" s="180"/>
      <c r="G489" s="171"/>
    </row>
    <row r="490" spans="6:7" ht="12.75">
      <c r="F490" s="180"/>
      <c r="G490" s="171"/>
    </row>
    <row r="491" spans="6:7" ht="12.75">
      <c r="F491" s="180"/>
      <c r="G491" s="171"/>
    </row>
    <row r="492" spans="6:7" ht="12.75">
      <c r="F492" s="180"/>
      <c r="G492" s="171"/>
    </row>
    <row r="493" spans="6:7" ht="12.75">
      <c r="F493" s="180"/>
      <c r="G493" s="171"/>
    </row>
    <row r="494" spans="6:7" ht="12.75">
      <c r="F494" s="180"/>
      <c r="G494" s="171"/>
    </row>
    <row r="495" spans="6:7" ht="12.75">
      <c r="F495" s="180"/>
      <c r="G495" s="171"/>
    </row>
    <row r="496" spans="6:7" ht="12.75">
      <c r="F496" s="180"/>
      <c r="G496" s="171"/>
    </row>
    <row r="497" spans="6:7" ht="12.75">
      <c r="F497" s="180"/>
      <c r="G497" s="171"/>
    </row>
    <row r="498" spans="6:7" ht="12.75">
      <c r="F498" s="180"/>
      <c r="G498" s="171"/>
    </row>
    <row r="499" spans="6:7" ht="12.75">
      <c r="F499" s="180"/>
      <c r="G499" s="171"/>
    </row>
    <row r="500" spans="6:7" ht="12.75">
      <c r="F500" s="180"/>
      <c r="G500" s="171"/>
    </row>
    <row r="501" spans="6:7" ht="12.75">
      <c r="F501" s="180"/>
      <c r="G501" s="171"/>
    </row>
    <row r="502" spans="6:7" ht="12.75">
      <c r="F502" s="180"/>
      <c r="G502" s="171"/>
    </row>
    <row r="503" spans="6:7" ht="12.75">
      <c r="F503" s="180"/>
      <c r="G503" s="171"/>
    </row>
    <row r="504" spans="6:7" ht="12.75">
      <c r="F504" s="180"/>
      <c r="G504" s="171"/>
    </row>
    <row r="505" spans="6:7" ht="12.75">
      <c r="F505" s="180"/>
      <c r="G505" s="171"/>
    </row>
    <row r="506" spans="6:7" ht="12.75">
      <c r="F506" s="180"/>
      <c r="G506" s="171"/>
    </row>
    <row r="507" spans="6:7" ht="12.75">
      <c r="F507" s="180"/>
      <c r="G507" s="171"/>
    </row>
    <row r="508" spans="6:7" ht="12.75">
      <c r="F508" s="180"/>
      <c r="G508" s="171"/>
    </row>
    <row r="509" spans="6:7" ht="12.75">
      <c r="F509" s="180"/>
      <c r="G509" s="171"/>
    </row>
    <row r="510" spans="6:7" ht="12.75">
      <c r="F510" s="180"/>
      <c r="G510" s="171"/>
    </row>
    <row r="511" spans="6:7" ht="12.75">
      <c r="F511" s="180"/>
      <c r="G511" s="171"/>
    </row>
    <row r="512" spans="6:7" ht="12.75">
      <c r="F512" s="180"/>
      <c r="G512" s="171"/>
    </row>
    <row r="513" spans="6:7" ht="12.75">
      <c r="F513" s="180"/>
      <c r="G513" s="171"/>
    </row>
    <row r="514" spans="6:7" ht="12.75">
      <c r="F514" s="180"/>
      <c r="G514" s="171"/>
    </row>
    <row r="515" spans="6:7" ht="12.75">
      <c r="F515" s="180"/>
      <c r="G515" s="171"/>
    </row>
    <row r="516" spans="6:7" ht="12.75">
      <c r="F516" s="180"/>
      <c r="G516" s="171"/>
    </row>
    <row r="517" spans="6:7" ht="12.75">
      <c r="F517" s="180"/>
      <c r="G517" s="171"/>
    </row>
    <row r="518" spans="6:7" ht="12.75">
      <c r="F518" s="180"/>
      <c r="G518" s="171"/>
    </row>
    <row r="519" spans="6:7" ht="12.75">
      <c r="F519" s="180"/>
      <c r="G519" s="171"/>
    </row>
    <row r="520" spans="6:7" ht="12.75">
      <c r="F520" s="180"/>
      <c r="G520" s="171"/>
    </row>
    <row r="521" spans="6:7" ht="12.75">
      <c r="F521" s="180"/>
      <c r="G521" s="171"/>
    </row>
    <row r="522" spans="6:7" ht="12.75">
      <c r="F522" s="180"/>
      <c r="G522" s="171"/>
    </row>
    <row r="523" spans="6:7" ht="12.75">
      <c r="F523" s="180"/>
      <c r="G523" s="171"/>
    </row>
    <row r="524" spans="6:7" ht="12.75">
      <c r="F524" s="180"/>
      <c r="G524" s="171"/>
    </row>
    <row r="525" spans="6:7" ht="12.75">
      <c r="F525" s="180"/>
      <c r="G525" s="171"/>
    </row>
    <row r="526" spans="6:7" ht="12.75">
      <c r="F526" s="180"/>
      <c r="G526" s="171"/>
    </row>
    <row r="527" spans="6:7" ht="12.75">
      <c r="F527" s="180"/>
      <c r="G527" s="171"/>
    </row>
    <row r="528" spans="6:7" ht="12.75">
      <c r="F528" s="180"/>
      <c r="G528" s="171"/>
    </row>
    <row r="529" spans="6:7" ht="12.75">
      <c r="F529" s="180"/>
      <c r="G529" s="171"/>
    </row>
    <row r="530" spans="6:7" ht="12.75">
      <c r="F530" s="180"/>
      <c r="G530" s="171"/>
    </row>
    <row r="531" spans="6:7" ht="12.75">
      <c r="F531" s="180"/>
      <c r="G531" s="171"/>
    </row>
    <row r="532" spans="6:7" ht="12.75">
      <c r="F532" s="180"/>
      <c r="G532" s="171"/>
    </row>
    <row r="533" spans="6:7" ht="12.75">
      <c r="F533" s="180"/>
      <c r="G533" s="171"/>
    </row>
    <row r="534" spans="6:7" ht="12.75">
      <c r="F534" s="180"/>
      <c r="G534" s="171"/>
    </row>
    <row r="535" spans="6:7" ht="12.75">
      <c r="F535" s="180"/>
      <c r="G535" s="171"/>
    </row>
    <row r="536" spans="6:7" ht="12.75">
      <c r="F536" s="180"/>
      <c r="G536" s="171"/>
    </row>
    <row r="537" spans="6:7" ht="12.75">
      <c r="F537" s="180"/>
      <c r="G537" s="171"/>
    </row>
    <row r="538" spans="6:7" ht="12.75">
      <c r="F538" s="180"/>
      <c r="G538" s="171"/>
    </row>
    <row r="539" spans="6:7" ht="12.75">
      <c r="F539" s="180"/>
      <c r="G539" s="171"/>
    </row>
    <row r="540" spans="6:7" ht="12.75">
      <c r="F540" s="180"/>
      <c r="G540" s="171"/>
    </row>
    <row r="541" spans="6:7" ht="12.75">
      <c r="F541" s="180"/>
      <c r="G541" s="171"/>
    </row>
    <row r="542" spans="6:7" ht="12.75">
      <c r="F542" s="180"/>
      <c r="G542" s="171"/>
    </row>
    <row r="543" spans="6:7" ht="12.75">
      <c r="F543" s="180"/>
      <c r="G543" s="171"/>
    </row>
    <row r="544" spans="6:7" ht="12.75">
      <c r="F544" s="180"/>
      <c r="G544" s="171"/>
    </row>
    <row r="545" spans="6:7" ht="12.75">
      <c r="F545" s="180"/>
      <c r="G545" s="171"/>
    </row>
    <row r="546" spans="6:7" ht="12.75">
      <c r="F546" s="180"/>
      <c r="G546" s="171"/>
    </row>
    <row r="547" spans="6:7" ht="12.75">
      <c r="F547" s="180"/>
      <c r="G547" s="171"/>
    </row>
    <row r="548" spans="6:7" ht="12.75">
      <c r="F548" s="180"/>
      <c r="G548" s="171"/>
    </row>
    <row r="549" spans="6:7" ht="12.75">
      <c r="F549" s="180"/>
      <c r="G549" s="171"/>
    </row>
    <row r="550" spans="6:7" ht="12.75">
      <c r="F550" s="180"/>
      <c r="G550" s="171"/>
    </row>
    <row r="551" spans="6:7" ht="12.75">
      <c r="F551" s="180"/>
      <c r="G551" s="171"/>
    </row>
    <row r="552" spans="6:7" ht="12.75">
      <c r="F552" s="180"/>
      <c r="G552" s="171"/>
    </row>
    <row r="553" spans="6:7" ht="12.75">
      <c r="F553" s="180"/>
      <c r="G553" s="171"/>
    </row>
    <row r="554" spans="6:7" ht="12.75">
      <c r="F554" s="180"/>
      <c r="G554" s="171"/>
    </row>
    <row r="555" spans="6:7" ht="12.75">
      <c r="F555" s="180"/>
      <c r="G555" s="171"/>
    </row>
    <row r="556" spans="6:7" ht="12.75">
      <c r="F556" s="180"/>
      <c r="G556" s="171"/>
    </row>
    <row r="557" spans="6:7" ht="12.75">
      <c r="F557" s="180"/>
      <c r="G557" s="171"/>
    </row>
    <row r="558" spans="6:7" ht="12.75">
      <c r="F558" s="180"/>
      <c r="G558" s="171"/>
    </row>
    <row r="559" spans="6:7" ht="12.75">
      <c r="F559" s="180"/>
      <c r="G559" s="171"/>
    </row>
    <row r="560" spans="6:7" ht="12.75">
      <c r="F560" s="180"/>
      <c r="G560" s="171"/>
    </row>
    <row r="561" spans="6:7" ht="12.75">
      <c r="F561" s="180"/>
      <c r="G561" s="171"/>
    </row>
    <row r="562" spans="6:7" ht="12.75">
      <c r="F562" s="180"/>
      <c r="G562" s="171"/>
    </row>
    <row r="563" spans="6:7" ht="12.75">
      <c r="F563" s="180"/>
      <c r="G563" s="171"/>
    </row>
    <row r="564" spans="6:7" ht="12.75">
      <c r="F564" s="180"/>
      <c r="G564" s="171"/>
    </row>
    <row r="565" spans="6:7" ht="12.75">
      <c r="F565" s="180"/>
      <c r="G565" s="171"/>
    </row>
    <row r="566" spans="6:7" ht="12.75">
      <c r="F566" s="180"/>
      <c r="G566" s="171"/>
    </row>
    <row r="567" spans="6:7" ht="12.75">
      <c r="F567" s="180"/>
      <c r="G567" s="171"/>
    </row>
    <row r="568" spans="6:7" ht="12.75">
      <c r="F568" s="180"/>
      <c r="G568" s="171"/>
    </row>
    <row r="569" spans="6:7" ht="12.75">
      <c r="F569" s="180"/>
      <c r="G569" s="171"/>
    </row>
    <row r="570" spans="6:7" ht="12.75">
      <c r="F570" s="180"/>
      <c r="G570" s="171"/>
    </row>
    <row r="571" spans="6:7" ht="12.75">
      <c r="F571" s="180"/>
      <c r="G571" s="171"/>
    </row>
    <row r="572" spans="6:7" ht="12.75">
      <c r="F572" s="180"/>
      <c r="G572" s="171"/>
    </row>
    <row r="573" spans="6:7" ht="12.75">
      <c r="F573" s="180"/>
      <c r="G573" s="171"/>
    </row>
    <row r="574" spans="6:7" ht="12.75">
      <c r="F574" s="180"/>
      <c r="G574" s="171"/>
    </row>
    <row r="575" spans="6:7" ht="12.75">
      <c r="F575" s="180"/>
      <c r="G575" s="171"/>
    </row>
    <row r="576" spans="6:7" ht="12.75">
      <c r="F576" s="180"/>
      <c r="G576" s="171"/>
    </row>
    <row r="577" spans="6:7" ht="12.75">
      <c r="F577" s="180"/>
      <c r="G577" s="171"/>
    </row>
    <row r="578" spans="6:7" ht="12.75">
      <c r="F578" s="180"/>
      <c r="G578" s="171"/>
    </row>
    <row r="579" spans="6:7" ht="12.75">
      <c r="F579" s="180"/>
      <c r="G579" s="171"/>
    </row>
    <row r="580" spans="6:7" ht="12.75">
      <c r="F580" s="180"/>
      <c r="G580" s="171"/>
    </row>
    <row r="581" spans="6:7" ht="12.75">
      <c r="F581" s="180"/>
      <c r="G581" s="171"/>
    </row>
    <row r="582" spans="6:7" ht="12.75">
      <c r="F582" s="180"/>
      <c r="G582" s="171"/>
    </row>
    <row r="583" spans="6:7" ht="12.75">
      <c r="F583" s="180"/>
      <c r="G583" s="171"/>
    </row>
    <row r="584" spans="6:7" ht="12.75">
      <c r="F584" s="180"/>
      <c r="G584" s="171"/>
    </row>
    <row r="585" spans="6:7" ht="12.75">
      <c r="F585" s="180"/>
      <c r="G585" s="171"/>
    </row>
    <row r="586" spans="6:7" ht="12.75">
      <c r="F586" s="180"/>
      <c r="G586" s="171"/>
    </row>
    <row r="587" spans="6:7" ht="12.75">
      <c r="F587" s="180"/>
      <c r="G587" s="171"/>
    </row>
    <row r="588" spans="6:7" ht="12.75">
      <c r="F588" s="180"/>
      <c r="G588" s="171"/>
    </row>
    <row r="589" spans="6:7" ht="12.75">
      <c r="F589" s="180"/>
      <c r="G589" s="171"/>
    </row>
    <row r="590" spans="6:7" ht="12.75">
      <c r="F590" s="180"/>
      <c r="G590" s="171"/>
    </row>
    <row r="591" spans="6:7" ht="12.75">
      <c r="F591" s="180"/>
      <c r="G591" s="171"/>
    </row>
    <row r="592" spans="6:7" ht="12.75">
      <c r="F592" s="180"/>
      <c r="G592" s="171"/>
    </row>
    <row r="593" spans="6:7" ht="12.75">
      <c r="F593" s="180"/>
      <c r="G593" s="171"/>
    </row>
    <row r="594" spans="6:7" ht="12.75">
      <c r="F594" s="180"/>
      <c r="G594" s="171"/>
    </row>
    <row r="595" spans="6:7" ht="12.75">
      <c r="F595" s="180"/>
      <c r="G595" s="171"/>
    </row>
    <row r="596" spans="6:7" ht="12.75">
      <c r="F596" s="180"/>
      <c r="G596" s="171"/>
    </row>
    <row r="597" spans="6:7" ht="12.75">
      <c r="F597" s="180"/>
      <c r="G597" s="171"/>
    </row>
    <row r="598" spans="6:7" ht="12.75">
      <c r="F598" s="180"/>
      <c r="G598" s="171"/>
    </row>
    <row r="599" spans="6:7" ht="12.75">
      <c r="F599" s="180"/>
      <c r="G599" s="171"/>
    </row>
    <row r="600" spans="6:7" ht="12.75">
      <c r="F600" s="180"/>
      <c r="G600" s="171"/>
    </row>
    <row r="601" spans="6:7" ht="12.75">
      <c r="F601" s="180"/>
      <c r="G601" s="171"/>
    </row>
    <row r="602" spans="6:7" ht="12.75">
      <c r="F602" s="180"/>
      <c r="G602" s="171"/>
    </row>
    <row r="603" spans="6:7" ht="12.75">
      <c r="F603" s="180"/>
      <c r="G603" s="171"/>
    </row>
    <row r="604" spans="6:7" ht="12.75">
      <c r="F604" s="180"/>
      <c r="G604" s="171"/>
    </row>
    <row r="605" spans="6:7" ht="12.75">
      <c r="F605" s="180"/>
      <c r="G605" s="171"/>
    </row>
  </sheetData>
  <mergeCells count="8">
    <mergeCell ref="A123:D123"/>
    <mergeCell ref="A6:G6"/>
    <mergeCell ref="A7:G7"/>
    <mergeCell ref="C107:C108"/>
    <mergeCell ref="D107:D108"/>
    <mergeCell ref="E107:E108"/>
    <mergeCell ref="F107:F108"/>
    <mergeCell ref="G107:G108"/>
  </mergeCells>
  <printOptions/>
  <pageMargins left="0.66" right="0.32" top="0.31" bottom="0.65" header="0.24" footer="0.3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3">
      <selection activeCell="G3" sqref="G3"/>
    </sheetView>
  </sheetViews>
  <sheetFormatPr defaultColWidth="9.00390625" defaultRowHeight="12.75"/>
  <cols>
    <col min="1" max="1" width="7.375" style="0" customWidth="1"/>
    <col min="4" max="4" width="2.375" style="0" customWidth="1"/>
    <col min="5" max="5" width="52.625" style="0" customWidth="1"/>
    <col min="6" max="7" width="20.00390625" style="0" customWidth="1"/>
    <col min="8" max="8" width="12.25390625" style="0" customWidth="1"/>
  </cols>
  <sheetData>
    <row r="1" ht="12.75">
      <c r="G1" s="568"/>
    </row>
    <row r="2" spans="5:7" ht="16.5" customHeight="1">
      <c r="E2" s="178"/>
      <c r="F2" s="178"/>
      <c r="G2" s="130" t="s">
        <v>233</v>
      </c>
    </row>
    <row r="3" spans="5:8" ht="13.5" customHeight="1">
      <c r="E3" s="176"/>
      <c r="F3" s="176"/>
      <c r="G3" s="176" t="s">
        <v>764</v>
      </c>
      <c r="H3" s="216"/>
    </row>
    <row r="4" spans="5:7" ht="15.75" customHeight="1">
      <c r="E4" s="176"/>
      <c r="F4" s="176"/>
      <c r="G4" s="176" t="s">
        <v>46</v>
      </c>
    </row>
    <row r="5" ht="3" customHeight="1"/>
    <row r="6" spans="1:7" s="217" customFormat="1" ht="16.5">
      <c r="A6" s="612" t="s">
        <v>381</v>
      </c>
      <c r="B6" s="612"/>
      <c r="C6" s="612"/>
      <c r="D6" s="612"/>
      <c r="E6" s="612"/>
      <c r="F6" s="612"/>
      <c r="G6" s="612"/>
    </row>
    <row r="7" spans="1:7" s="217" customFormat="1" ht="15" customHeight="1">
      <c r="A7" s="244" t="s">
        <v>63</v>
      </c>
      <c r="B7" s="244"/>
      <c r="C7" s="244"/>
      <c r="D7" s="244"/>
      <c r="E7" s="244"/>
      <c r="F7" s="244"/>
      <c r="G7" s="244"/>
    </row>
    <row r="8" ht="5.25" customHeight="1"/>
    <row r="9" spans="1:7" s="218" customFormat="1" ht="12" customHeight="1">
      <c r="A9" s="613" t="s">
        <v>43</v>
      </c>
      <c r="B9" s="613"/>
      <c r="C9" s="613"/>
      <c r="D9" s="614" t="s">
        <v>422</v>
      </c>
      <c r="E9" s="614"/>
      <c r="F9" s="614" t="s">
        <v>44</v>
      </c>
      <c r="G9" s="614" t="s">
        <v>45</v>
      </c>
    </row>
    <row r="10" spans="1:7" s="218" customFormat="1" ht="14.25" customHeight="1">
      <c r="A10" s="77" t="s">
        <v>420</v>
      </c>
      <c r="B10" s="77" t="s">
        <v>421</v>
      </c>
      <c r="C10" s="77" t="s">
        <v>519</v>
      </c>
      <c r="D10" s="614"/>
      <c r="E10" s="614"/>
      <c r="F10" s="614"/>
      <c r="G10" s="614"/>
    </row>
    <row r="11" spans="1:7" s="218" customFormat="1" ht="14.25" customHeight="1">
      <c r="A11" s="219">
        <v>1</v>
      </c>
      <c r="B11" s="220">
        <v>2</v>
      </c>
      <c r="C11" s="220">
        <v>3</v>
      </c>
      <c r="D11" s="615">
        <v>4</v>
      </c>
      <c r="E11" s="601"/>
      <c r="F11" s="220">
        <v>5</v>
      </c>
      <c r="G11" s="220">
        <v>6</v>
      </c>
    </row>
    <row r="12" spans="1:7" s="224" customFormat="1" ht="39.75" customHeight="1">
      <c r="A12" s="221">
        <v>600</v>
      </c>
      <c r="B12" s="222">
        <v>60014</v>
      </c>
      <c r="C12" s="628">
        <v>2310</v>
      </c>
      <c r="D12" s="610" t="s">
        <v>51</v>
      </c>
      <c r="E12" s="611"/>
      <c r="F12" s="209" t="s">
        <v>503</v>
      </c>
      <c r="G12" s="223">
        <v>423632</v>
      </c>
    </row>
    <row r="13" spans="1:7" s="224" customFormat="1" ht="14.25" customHeight="1">
      <c r="A13" s="767"/>
      <c r="B13" s="225"/>
      <c r="C13" s="226"/>
      <c r="D13" s="768" t="s">
        <v>52</v>
      </c>
      <c r="E13" s="769"/>
      <c r="F13" s="227"/>
      <c r="G13" s="228"/>
    </row>
    <row r="14" spans="1:7" s="224" customFormat="1" ht="12.75" customHeight="1">
      <c r="A14" s="767"/>
      <c r="B14" s="225"/>
      <c r="C14" s="226"/>
      <c r="D14" s="623" t="s">
        <v>53</v>
      </c>
      <c r="E14" s="624"/>
      <c r="F14" s="227"/>
      <c r="G14" s="228"/>
    </row>
    <row r="15" spans="1:7" s="224" customFormat="1" ht="12.75" customHeight="1">
      <c r="A15" s="767"/>
      <c r="B15" s="225"/>
      <c r="C15" s="226"/>
      <c r="D15" s="623" t="s">
        <v>54</v>
      </c>
      <c r="E15" s="624"/>
      <c r="F15" s="227"/>
      <c r="G15" s="228"/>
    </row>
    <row r="16" spans="1:7" s="224" customFormat="1" ht="12.75" customHeight="1">
      <c r="A16" s="767"/>
      <c r="B16" s="225"/>
      <c r="C16" s="226"/>
      <c r="D16" s="623" t="s">
        <v>760</v>
      </c>
      <c r="E16" s="624"/>
      <c r="F16" s="227"/>
      <c r="G16" s="228"/>
    </row>
    <row r="17" spans="1:7" s="224" customFormat="1" ht="12.75" customHeight="1">
      <c r="A17" s="767"/>
      <c r="B17" s="225"/>
      <c r="C17" s="226"/>
      <c r="D17" s="623" t="s">
        <v>759</v>
      </c>
      <c r="E17" s="624"/>
      <c r="F17" s="227"/>
      <c r="G17" s="228"/>
    </row>
    <row r="18" spans="1:7" s="224" customFormat="1" ht="12.75" customHeight="1">
      <c r="A18" s="767"/>
      <c r="B18" s="225"/>
      <c r="C18" s="226"/>
      <c r="D18" s="623" t="s">
        <v>758</v>
      </c>
      <c r="E18" s="624"/>
      <c r="F18" s="227"/>
      <c r="G18" s="228"/>
    </row>
    <row r="19" spans="1:7" s="405" customFormat="1" ht="37.5" customHeight="1">
      <c r="A19" s="222">
        <v>600</v>
      </c>
      <c r="B19" s="222">
        <v>60014</v>
      </c>
      <c r="C19" s="370">
        <v>6610</v>
      </c>
      <c r="D19" s="602" t="s">
        <v>176</v>
      </c>
      <c r="E19" s="610"/>
      <c r="F19" s="223"/>
      <c r="G19" s="223">
        <v>100000</v>
      </c>
    </row>
    <row r="20" spans="1:7" s="405" customFormat="1" ht="22.5">
      <c r="A20" s="225"/>
      <c r="B20" s="225"/>
      <c r="C20" s="412"/>
      <c r="D20" s="371" t="s">
        <v>146</v>
      </c>
      <c r="E20" s="371" t="s">
        <v>177</v>
      </c>
      <c r="F20" s="210"/>
      <c r="G20" s="228"/>
    </row>
    <row r="21" spans="1:7" s="409" customFormat="1" ht="37.5" customHeight="1">
      <c r="A21" s="221">
        <v>600</v>
      </c>
      <c r="B21" s="222">
        <v>60053</v>
      </c>
      <c r="C21" s="295">
        <v>6619</v>
      </c>
      <c r="D21" s="625" t="s">
        <v>136</v>
      </c>
      <c r="E21" s="607"/>
      <c r="F21" s="336">
        <v>139375</v>
      </c>
      <c r="G21" s="417" t="s">
        <v>503</v>
      </c>
    </row>
    <row r="22" spans="1:7" s="409" customFormat="1" ht="33.75">
      <c r="A22" s="413"/>
      <c r="B22" s="232"/>
      <c r="C22" s="530"/>
      <c r="D22" s="532" t="s">
        <v>294</v>
      </c>
      <c r="E22" s="462" t="s">
        <v>331</v>
      </c>
      <c r="F22" s="531"/>
      <c r="G22" s="418"/>
    </row>
    <row r="23" spans="1:7" s="409" customFormat="1" ht="12">
      <c r="A23" s="413"/>
      <c r="B23" s="232"/>
      <c r="C23" s="339"/>
      <c r="D23" s="608" t="s">
        <v>178</v>
      </c>
      <c r="E23" s="609"/>
      <c r="F23" s="416"/>
      <c r="G23" s="418"/>
    </row>
    <row r="24" spans="1:7" s="409" customFormat="1" ht="12">
      <c r="A24" s="413"/>
      <c r="B24" s="232"/>
      <c r="C24" s="339"/>
      <c r="D24" s="623" t="s">
        <v>179</v>
      </c>
      <c r="E24" s="624"/>
      <c r="F24" s="416"/>
      <c r="G24" s="418"/>
    </row>
    <row r="25" spans="1:7" s="409" customFormat="1" ht="12">
      <c r="A25" s="413"/>
      <c r="B25" s="232"/>
      <c r="C25" s="339"/>
      <c r="D25" s="623" t="s">
        <v>180</v>
      </c>
      <c r="E25" s="624"/>
      <c r="F25" s="416"/>
      <c r="G25" s="418"/>
    </row>
    <row r="26" spans="1:7" s="409" customFormat="1" ht="12">
      <c r="A26" s="413"/>
      <c r="B26" s="232"/>
      <c r="C26" s="339"/>
      <c r="D26" s="623" t="s">
        <v>181</v>
      </c>
      <c r="E26" s="624"/>
      <c r="F26" s="416"/>
      <c r="G26" s="418"/>
    </row>
    <row r="27" spans="1:7" s="409" customFormat="1" ht="12">
      <c r="A27" s="414"/>
      <c r="B27" s="378"/>
      <c r="C27" s="415"/>
      <c r="D27" s="623" t="s">
        <v>182</v>
      </c>
      <c r="E27" s="624"/>
      <c r="F27" s="416"/>
      <c r="G27" s="419"/>
    </row>
    <row r="28" spans="1:7" s="409" customFormat="1" ht="37.5" customHeight="1">
      <c r="A28" s="222">
        <v>750</v>
      </c>
      <c r="B28" s="222">
        <v>75018</v>
      </c>
      <c r="C28" s="222">
        <v>2330</v>
      </c>
      <c r="D28" s="610" t="s">
        <v>55</v>
      </c>
      <c r="E28" s="611"/>
      <c r="F28" s="209" t="s">
        <v>503</v>
      </c>
      <c r="G28" s="223">
        <v>6000</v>
      </c>
    </row>
    <row r="29" spans="1:7" s="409" customFormat="1" ht="34.5" customHeight="1">
      <c r="A29" s="378"/>
      <c r="B29" s="378"/>
      <c r="C29" s="378"/>
      <c r="D29" s="233">
        <v>1</v>
      </c>
      <c r="E29" s="175" t="s">
        <v>56</v>
      </c>
      <c r="F29" s="235"/>
      <c r="G29" s="235"/>
    </row>
    <row r="30" spans="1:7" s="409" customFormat="1" ht="39.75" customHeight="1">
      <c r="A30" s="222">
        <v>801</v>
      </c>
      <c r="B30" s="222">
        <v>80120</v>
      </c>
      <c r="C30" s="295">
        <v>2310</v>
      </c>
      <c r="D30" s="610" t="s">
        <v>51</v>
      </c>
      <c r="E30" s="611"/>
      <c r="F30" s="209" t="s">
        <v>503</v>
      </c>
      <c r="G30" s="223">
        <v>14400</v>
      </c>
    </row>
    <row r="31" spans="1:7" s="409" customFormat="1" ht="32.25" customHeight="1">
      <c r="A31" s="239"/>
      <c r="B31" s="239"/>
      <c r="C31" s="340"/>
      <c r="D31" s="233">
        <v>1</v>
      </c>
      <c r="E31" s="236" t="s">
        <v>57</v>
      </c>
      <c r="F31" s="235"/>
      <c r="G31" s="235"/>
    </row>
    <row r="32" spans="1:7" s="231" customFormat="1" ht="22.5" customHeight="1">
      <c r="A32" s="222">
        <v>801</v>
      </c>
      <c r="B32" s="222">
        <v>80130</v>
      </c>
      <c r="C32" s="222">
        <v>2310</v>
      </c>
      <c r="D32" s="605" t="s">
        <v>60</v>
      </c>
      <c r="E32" s="606"/>
      <c r="F32" s="341">
        <v>38000</v>
      </c>
      <c r="G32" s="342" t="s">
        <v>503</v>
      </c>
    </row>
    <row r="33" spans="1:7" s="231" customFormat="1" ht="45">
      <c r="A33" s="225"/>
      <c r="B33" s="225"/>
      <c r="C33" s="356"/>
      <c r="D33" s="233">
        <v>1</v>
      </c>
      <c r="E33" s="240" t="s">
        <v>133</v>
      </c>
      <c r="F33" s="234"/>
      <c r="G33" s="234"/>
    </row>
    <row r="34" spans="1:7" s="231" customFormat="1" ht="37.5" customHeight="1">
      <c r="A34" s="222">
        <v>801</v>
      </c>
      <c r="B34" s="222">
        <v>80130</v>
      </c>
      <c r="C34" s="295">
        <v>2310</v>
      </c>
      <c r="D34" s="610" t="s">
        <v>51</v>
      </c>
      <c r="E34" s="611"/>
      <c r="F34" s="237"/>
      <c r="G34" s="223">
        <v>4000</v>
      </c>
    </row>
    <row r="35" spans="1:7" s="231" customFormat="1" ht="21.75" customHeight="1">
      <c r="A35" s="232"/>
      <c r="B35" s="232"/>
      <c r="C35" s="339"/>
      <c r="D35" s="233">
        <v>1</v>
      </c>
      <c r="E35" s="238" t="s">
        <v>58</v>
      </c>
      <c r="F35" s="235"/>
      <c r="G35" s="230"/>
    </row>
    <row r="36" spans="1:7" s="405" customFormat="1" ht="39" customHeight="1">
      <c r="A36" s="222">
        <v>851</v>
      </c>
      <c r="B36" s="222">
        <v>85154</v>
      </c>
      <c r="C36" s="222">
        <v>2330</v>
      </c>
      <c r="D36" s="602" t="s">
        <v>59</v>
      </c>
      <c r="E36" s="610"/>
      <c r="F36" s="223">
        <v>4500</v>
      </c>
      <c r="G36" s="408" t="s">
        <v>503</v>
      </c>
    </row>
    <row r="37" spans="1:7" s="405" customFormat="1" ht="22.5">
      <c r="A37" s="407"/>
      <c r="B37" s="407"/>
      <c r="C37" s="407"/>
      <c r="D37" s="233">
        <v>1</v>
      </c>
      <c r="E37" s="240" t="s">
        <v>226</v>
      </c>
      <c r="F37" s="406"/>
      <c r="G37" s="404"/>
    </row>
    <row r="38" spans="1:7" s="405" customFormat="1" ht="24.75" customHeight="1">
      <c r="A38" s="222">
        <v>852</v>
      </c>
      <c r="B38" s="222">
        <v>85201</v>
      </c>
      <c r="C38" s="222">
        <v>2310</v>
      </c>
      <c r="D38" s="605" t="s">
        <v>60</v>
      </c>
      <c r="E38" s="606"/>
      <c r="F38" s="223">
        <f>28728+19979</f>
        <v>48707</v>
      </c>
      <c r="G38" s="223"/>
    </row>
    <row r="39" spans="1:7" s="405" customFormat="1" ht="22.5">
      <c r="A39" s="239"/>
      <c r="B39" s="239"/>
      <c r="C39" s="239"/>
      <c r="D39" s="233">
        <v>1</v>
      </c>
      <c r="E39" s="240" t="s">
        <v>61</v>
      </c>
      <c r="F39" s="210"/>
      <c r="G39" s="210"/>
    </row>
    <row r="40" spans="1:7" s="405" customFormat="1" ht="24.75" customHeight="1">
      <c r="A40" s="222">
        <v>852</v>
      </c>
      <c r="B40" s="222">
        <v>85201</v>
      </c>
      <c r="C40" s="222">
        <v>2320</v>
      </c>
      <c r="D40" s="605" t="s">
        <v>118</v>
      </c>
      <c r="E40" s="606"/>
      <c r="F40" s="336"/>
      <c r="G40" s="223">
        <v>790000</v>
      </c>
    </row>
    <row r="41" spans="1:7" s="405" customFormat="1" ht="33.75">
      <c r="A41" s="239"/>
      <c r="B41" s="239"/>
      <c r="C41" s="239"/>
      <c r="D41" s="233">
        <v>1</v>
      </c>
      <c r="E41" s="240" t="s">
        <v>119</v>
      </c>
      <c r="F41" s="337"/>
      <c r="G41" s="352"/>
    </row>
    <row r="42" spans="1:7" s="405" customFormat="1" ht="27" customHeight="1">
      <c r="A42" s="222">
        <v>852</v>
      </c>
      <c r="B42" s="222">
        <v>85204</v>
      </c>
      <c r="C42" s="222">
        <v>2310</v>
      </c>
      <c r="D42" s="605" t="s">
        <v>60</v>
      </c>
      <c r="E42" s="606"/>
      <c r="F42" s="223" t="s">
        <v>503</v>
      </c>
      <c r="G42" s="223">
        <v>11700</v>
      </c>
    </row>
    <row r="43" spans="1:7" s="405" customFormat="1" ht="22.5">
      <c r="A43" s="239"/>
      <c r="B43" s="239"/>
      <c r="C43" s="239"/>
      <c r="D43" s="233">
        <v>1</v>
      </c>
      <c r="E43" s="240" t="s">
        <v>147</v>
      </c>
      <c r="F43" s="411"/>
      <c r="G43" s="410"/>
    </row>
    <row r="44" spans="1:7" s="405" customFormat="1" ht="39" customHeight="1">
      <c r="A44" s="222">
        <v>852</v>
      </c>
      <c r="B44" s="222">
        <v>85204</v>
      </c>
      <c r="C44" s="222">
        <v>2320</v>
      </c>
      <c r="D44" s="602" t="s">
        <v>129</v>
      </c>
      <c r="E44" s="610"/>
      <c r="F44" s="223">
        <v>13616</v>
      </c>
      <c r="G44" s="209" t="s">
        <v>503</v>
      </c>
    </row>
    <row r="45" spans="1:7" s="405" customFormat="1" ht="22.5">
      <c r="A45" s="239"/>
      <c r="B45" s="239"/>
      <c r="C45" s="239"/>
      <c r="D45" s="233">
        <v>1</v>
      </c>
      <c r="E45" s="240" t="s">
        <v>134</v>
      </c>
      <c r="F45" s="210"/>
      <c r="G45" s="230"/>
    </row>
    <row r="46" spans="1:7" s="420" customFormat="1" ht="36.75" customHeight="1">
      <c r="A46" s="222">
        <v>921</v>
      </c>
      <c r="B46" s="222">
        <v>92116</v>
      </c>
      <c r="C46" s="222">
        <v>2310</v>
      </c>
      <c r="D46" s="611" t="s">
        <v>51</v>
      </c>
      <c r="E46" s="610"/>
      <c r="F46" s="227" t="s">
        <v>503</v>
      </c>
      <c r="G46" s="228">
        <v>40000</v>
      </c>
    </row>
    <row r="47" spans="1:7" s="420" customFormat="1" ht="36">
      <c r="A47" s="239"/>
      <c r="B47" s="239"/>
      <c r="C47" s="239"/>
      <c r="D47" s="233">
        <v>1</v>
      </c>
      <c r="E47" s="567" t="s">
        <v>62</v>
      </c>
      <c r="F47" s="210"/>
      <c r="G47" s="210"/>
    </row>
    <row r="48" spans="1:7" s="242" customFormat="1" ht="24" customHeight="1">
      <c r="A48" s="603" t="s">
        <v>492</v>
      </c>
      <c r="B48" s="603"/>
      <c r="C48" s="603"/>
      <c r="D48" s="604"/>
      <c r="E48" s="604"/>
      <c r="F48" s="241">
        <f>SUM(F12:F47)</f>
        <v>244198</v>
      </c>
      <c r="G48" s="241">
        <f>SUM(G12:G47)</f>
        <v>1389732</v>
      </c>
    </row>
  </sheetData>
  <mergeCells count="31">
    <mergeCell ref="A48:E48"/>
    <mergeCell ref="D30:E30"/>
    <mergeCell ref="D34:E34"/>
    <mergeCell ref="D36:E36"/>
    <mergeCell ref="D38:E38"/>
    <mergeCell ref="D40:E40"/>
    <mergeCell ref="D32:E32"/>
    <mergeCell ref="D44:E44"/>
    <mergeCell ref="D42:E42"/>
    <mergeCell ref="D46:E46"/>
    <mergeCell ref="D19:E19"/>
    <mergeCell ref="D15:E15"/>
    <mergeCell ref="D16:E16"/>
    <mergeCell ref="D17:E17"/>
    <mergeCell ref="D18:E18"/>
    <mergeCell ref="D28:E28"/>
    <mergeCell ref="A6:G6"/>
    <mergeCell ref="A9:C9"/>
    <mergeCell ref="D9:E10"/>
    <mergeCell ref="F9:F10"/>
    <mergeCell ref="G9:G10"/>
    <mergeCell ref="D11:E11"/>
    <mergeCell ref="D12:E12"/>
    <mergeCell ref="D13:E13"/>
    <mergeCell ref="D14:E14"/>
    <mergeCell ref="D27:E27"/>
    <mergeCell ref="D21:E21"/>
    <mergeCell ref="D23:E23"/>
    <mergeCell ref="D24:E24"/>
    <mergeCell ref="D26:E26"/>
    <mergeCell ref="D25:E25"/>
  </mergeCells>
  <printOptions/>
  <pageMargins left="1.07" right="0.75" top="0.71" bottom="0.28" header="0.21" footer="0.2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workbookViewId="0" topLeftCell="A12">
      <pane ySplit="1080" topLeftCell="BM1" activePane="bottomLeft" state="split"/>
      <selection pane="topLeft" activeCell="M11" sqref="M1:M16384"/>
      <selection pane="bottomLeft" activeCell="P3" sqref="P3"/>
    </sheetView>
  </sheetViews>
  <sheetFormatPr defaultColWidth="9.00390625" defaultRowHeight="12.75"/>
  <cols>
    <col min="1" max="1" width="5.00390625" style="171" customWidth="1"/>
    <col min="2" max="2" width="6.75390625" style="171" customWidth="1"/>
    <col min="3" max="3" width="31.00390625" style="171" customWidth="1"/>
    <col min="4" max="4" width="8.00390625" style="187" hidden="1" customWidth="1"/>
    <col min="5" max="5" width="10.75390625" style="171" customWidth="1"/>
    <col min="6" max="6" width="11.625" style="171" hidden="1" customWidth="1"/>
    <col min="7" max="7" width="12.125" style="171" hidden="1" customWidth="1"/>
    <col min="8" max="8" width="9.75390625" style="182" customWidth="1"/>
    <col min="9" max="9" width="7.875" style="171" customWidth="1"/>
    <col min="10" max="10" width="9.625" style="171" customWidth="1"/>
    <col min="11" max="11" width="11.375" style="171" customWidth="1"/>
    <col min="12" max="12" width="14.375" style="171" customWidth="1"/>
    <col min="13" max="13" width="10.00390625" style="171" hidden="1" customWidth="1"/>
    <col min="14" max="14" width="9.625" style="171" customWidth="1"/>
    <col min="15" max="15" width="10.625" style="171" customWidth="1"/>
    <col min="16" max="16" width="13.00390625" style="171" customWidth="1"/>
    <col min="17" max="16384" width="9.125" style="171" customWidth="1"/>
  </cols>
  <sheetData>
    <row r="1" ht="12.75">
      <c r="P1" s="568"/>
    </row>
    <row r="2" spans="12:16" ht="16.5" customHeight="1">
      <c r="L2" s="178"/>
      <c r="M2" s="178"/>
      <c r="N2" s="178"/>
      <c r="O2" s="178"/>
      <c r="P2" s="130" t="s">
        <v>135</v>
      </c>
    </row>
    <row r="3" spans="12:16" ht="15" customHeight="1">
      <c r="L3" s="176"/>
      <c r="M3" s="176"/>
      <c r="N3" s="176"/>
      <c r="O3" s="176"/>
      <c r="P3" s="176" t="s">
        <v>764</v>
      </c>
    </row>
    <row r="4" spans="12:16" ht="12" customHeight="1">
      <c r="L4" s="176"/>
      <c r="M4" s="176"/>
      <c r="N4" s="176"/>
      <c r="O4" s="176"/>
      <c r="P4" s="176" t="s">
        <v>46</v>
      </c>
    </row>
    <row r="5" spans="13:15" ht="3.75" customHeight="1">
      <c r="M5" s="56"/>
      <c r="N5" s="56"/>
      <c r="O5" s="86"/>
    </row>
    <row r="6" spans="13:15" ht="1.5" customHeight="1">
      <c r="M6" s="56"/>
      <c r="N6" s="56"/>
      <c r="O6" s="86"/>
    </row>
    <row r="7" spans="13:15" ht="16.5" customHeight="1" hidden="1">
      <c r="M7" s="56"/>
      <c r="N7" s="56"/>
      <c r="O7" s="86"/>
    </row>
    <row r="8" spans="1:16" s="248" customFormat="1" ht="15.75">
      <c r="A8" s="674" t="s">
        <v>234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</row>
    <row r="9" spans="1:16" s="248" customFormat="1" ht="17.25" customHeight="1">
      <c r="A9" s="674" t="s">
        <v>235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</row>
    <row r="10" ht="9.75" customHeight="1">
      <c r="P10" s="250"/>
    </row>
    <row r="11" spans="1:16" s="105" customFormat="1" ht="12.75">
      <c r="A11" s="675" t="s">
        <v>420</v>
      </c>
      <c r="B11" s="675" t="s">
        <v>421</v>
      </c>
      <c r="C11" s="675" t="s">
        <v>64</v>
      </c>
      <c r="D11" s="675" t="s">
        <v>65</v>
      </c>
      <c r="E11" s="675" t="s">
        <v>382</v>
      </c>
      <c r="F11" s="675" t="s">
        <v>66</v>
      </c>
      <c r="G11" s="675" t="s">
        <v>67</v>
      </c>
      <c r="H11" s="613" t="s">
        <v>68</v>
      </c>
      <c r="I11" s="678"/>
      <c r="J11" s="678"/>
      <c r="K11" s="678"/>
      <c r="L11" s="678"/>
      <c r="M11" s="678"/>
      <c r="N11" s="678"/>
      <c r="O11" s="678"/>
      <c r="P11" s="675" t="s">
        <v>69</v>
      </c>
    </row>
    <row r="12" spans="1:16" s="251" customFormat="1" ht="12.75" customHeight="1">
      <c r="A12" s="676"/>
      <c r="B12" s="676"/>
      <c r="C12" s="676"/>
      <c r="D12" s="677"/>
      <c r="E12" s="676"/>
      <c r="F12" s="676"/>
      <c r="G12" s="676"/>
      <c r="H12" s="675" t="s">
        <v>383</v>
      </c>
      <c r="I12" s="675" t="s">
        <v>70</v>
      </c>
      <c r="J12" s="679"/>
      <c r="K12" s="679"/>
      <c r="L12" s="679"/>
      <c r="M12" s="675" t="s">
        <v>71</v>
      </c>
      <c r="N12" s="675" t="s">
        <v>72</v>
      </c>
      <c r="O12" s="675" t="s">
        <v>386</v>
      </c>
      <c r="P12" s="677"/>
    </row>
    <row r="13" spans="1:16" s="251" customFormat="1" ht="48">
      <c r="A13" s="676"/>
      <c r="B13" s="676"/>
      <c r="C13" s="676"/>
      <c r="D13" s="677"/>
      <c r="E13" s="676"/>
      <c r="F13" s="676"/>
      <c r="G13" s="676"/>
      <c r="H13" s="675"/>
      <c r="I13" s="63" t="s">
        <v>73</v>
      </c>
      <c r="J13" s="63" t="s">
        <v>74</v>
      </c>
      <c r="K13" s="63" t="s">
        <v>384</v>
      </c>
      <c r="L13" s="63" t="s">
        <v>385</v>
      </c>
      <c r="M13" s="675"/>
      <c r="N13" s="675"/>
      <c r="O13" s="675"/>
      <c r="P13" s="677"/>
    </row>
    <row r="14" spans="1:16" s="251" customFormat="1" ht="12.75">
      <c r="A14" s="91">
        <v>1</v>
      </c>
      <c r="B14" s="91">
        <f>A14+1</f>
        <v>2</v>
      </c>
      <c r="C14" s="91">
        <f>B14+1</f>
        <v>3</v>
      </c>
      <c r="D14" s="91">
        <f aca="true" t="shared" si="0" ref="D14:P14">C14+1</f>
        <v>4</v>
      </c>
      <c r="E14" s="91">
        <v>4</v>
      </c>
      <c r="F14" s="91">
        <f t="shared" si="0"/>
        <v>5</v>
      </c>
      <c r="G14" s="91">
        <f t="shared" si="0"/>
        <v>6</v>
      </c>
      <c r="H14" s="91">
        <f t="shared" si="0"/>
        <v>7</v>
      </c>
      <c r="I14" s="91">
        <f t="shared" si="0"/>
        <v>8</v>
      </c>
      <c r="J14" s="91">
        <f t="shared" si="0"/>
        <v>9</v>
      </c>
      <c r="K14" s="91"/>
      <c r="L14" s="91">
        <f>J14+1</f>
        <v>10</v>
      </c>
      <c r="M14" s="91">
        <f t="shared" si="0"/>
        <v>11</v>
      </c>
      <c r="N14" s="91">
        <f t="shared" si="0"/>
        <v>12</v>
      </c>
      <c r="O14" s="91">
        <f t="shared" si="0"/>
        <v>13</v>
      </c>
      <c r="P14" s="91">
        <f t="shared" si="0"/>
        <v>14</v>
      </c>
    </row>
    <row r="15" spans="1:16" s="186" customFormat="1" ht="12.75">
      <c r="A15" s="252">
        <v>600</v>
      </c>
      <c r="B15" s="252">
        <v>60014</v>
      </c>
      <c r="C15" s="95" t="s">
        <v>533</v>
      </c>
      <c r="D15" s="253"/>
      <c r="E15" s="458">
        <f aca="true" t="shared" si="1" ref="E15:O15">SUM(E16:E26)</f>
        <v>12694616</v>
      </c>
      <c r="F15" s="458">
        <f t="shared" si="1"/>
        <v>3120161</v>
      </c>
      <c r="G15" s="458">
        <f t="shared" si="1"/>
        <v>9544455</v>
      </c>
      <c r="H15" s="458">
        <f t="shared" si="1"/>
        <v>4236499</v>
      </c>
      <c r="I15" s="458">
        <f t="shared" si="1"/>
        <v>388000</v>
      </c>
      <c r="J15" s="458">
        <f t="shared" si="1"/>
        <v>999626</v>
      </c>
      <c r="K15" s="458">
        <f t="shared" si="1"/>
        <v>0</v>
      </c>
      <c r="L15" s="458">
        <f t="shared" si="1"/>
        <v>2848873</v>
      </c>
      <c r="M15" s="458">
        <f t="shared" si="1"/>
        <v>1280000</v>
      </c>
      <c r="N15" s="458">
        <f t="shared" si="1"/>
        <v>1079520</v>
      </c>
      <c r="O15" s="458">
        <f t="shared" si="1"/>
        <v>800000</v>
      </c>
      <c r="P15" s="95"/>
    </row>
    <row r="16" spans="1:16" s="186" customFormat="1" ht="25.5">
      <c r="A16" s="557"/>
      <c r="B16" s="559"/>
      <c r="C16" s="553" t="s">
        <v>75</v>
      </c>
      <c r="D16" s="249" t="s">
        <v>76</v>
      </c>
      <c r="E16" s="459">
        <v>3393398</v>
      </c>
      <c r="F16" s="459">
        <v>1926378</v>
      </c>
      <c r="G16" s="459">
        <f>SUM(E16-F16)</f>
        <v>1467020</v>
      </c>
      <c r="H16" s="459">
        <v>80000</v>
      </c>
      <c r="I16" s="459">
        <v>0</v>
      </c>
      <c r="J16" s="459">
        <v>80000</v>
      </c>
      <c r="K16" s="459"/>
      <c r="L16" s="459">
        <v>0</v>
      </c>
      <c r="M16" s="459">
        <v>500000</v>
      </c>
      <c r="N16" s="459">
        <v>386840</v>
      </c>
      <c r="O16" s="459">
        <v>300000</v>
      </c>
      <c r="P16" s="249" t="s">
        <v>77</v>
      </c>
    </row>
    <row r="17" spans="1:16" s="186" customFormat="1" ht="21" customHeight="1">
      <c r="A17" s="558"/>
      <c r="B17" s="254"/>
      <c r="C17" s="672" t="s">
        <v>303</v>
      </c>
      <c r="D17" s="669" t="s">
        <v>78</v>
      </c>
      <c r="E17" s="663">
        <v>2307757</v>
      </c>
      <c r="F17" s="663">
        <v>1105003</v>
      </c>
      <c r="G17" s="663">
        <f>SUM(E17-F17)</f>
        <v>1202754</v>
      </c>
      <c r="H17" s="663">
        <f>SUM(J17,L17)</f>
        <v>626554</v>
      </c>
      <c r="I17" s="663">
        <v>0</v>
      </c>
      <c r="J17" s="663">
        <v>156639</v>
      </c>
      <c r="K17" s="452"/>
      <c r="L17" s="663">
        <v>469915</v>
      </c>
      <c r="M17" s="663">
        <v>0</v>
      </c>
      <c r="N17" s="663">
        <v>0</v>
      </c>
      <c r="O17" s="663">
        <v>0</v>
      </c>
      <c r="P17" s="669" t="s">
        <v>77</v>
      </c>
    </row>
    <row r="18" spans="1:16" s="186" customFormat="1" ht="10.5" customHeight="1">
      <c r="A18" s="558"/>
      <c r="B18" s="254"/>
      <c r="C18" s="673"/>
      <c r="D18" s="670"/>
      <c r="E18" s="666"/>
      <c r="F18" s="666"/>
      <c r="G18" s="666"/>
      <c r="H18" s="666"/>
      <c r="I18" s="666"/>
      <c r="J18" s="666"/>
      <c r="K18" s="453"/>
      <c r="L18" s="664"/>
      <c r="M18" s="666"/>
      <c r="N18" s="666"/>
      <c r="O18" s="666"/>
      <c r="P18" s="670"/>
    </row>
    <row r="19" spans="1:16" s="186" customFormat="1" ht="22.5" customHeight="1">
      <c r="A19" s="558"/>
      <c r="B19" s="254"/>
      <c r="C19" s="672" t="s">
        <v>306</v>
      </c>
      <c r="D19" s="669" t="s">
        <v>79</v>
      </c>
      <c r="E19" s="663">
        <v>2099570</v>
      </c>
      <c r="F19" s="663">
        <v>19260</v>
      </c>
      <c r="G19" s="663">
        <f>SUM(E19-F19)</f>
        <v>2080310</v>
      </c>
      <c r="H19" s="663">
        <f>SUM(J19,L19)</f>
        <v>2080885</v>
      </c>
      <c r="I19" s="663">
        <v>0</v>
      </c>
      <c r="J19" s="663">
        <v>520222</v>
      </c>
      <c r="K19" s="452"/>
      <c r="L19" s="663">
        <v>1560663</v>
      </c>
      <c r="M19" s="663">
        <v>0</v>
      </c>
      <c r="N19" s="663">
        <v>0</v>
      </c>
      <c r="O19" s="663">
        <v>0</v>
      </c>
      <c r="P19" s="669" t="s">
        <v>77</v>
      </c>
    </row>
    <row r="20" spans="1:16" s="186" customFormat="1" ht="10.5" customHeight="1">
      <c r="A20" s="558"/>
      <c r="B20" s="254"/>
      <c r="C20" s="673"/>
      <c r="D20" s="670"/>
      <c r="E20" s="666"/>
      <c r="F20" s="666"/>
      <c r="G20" s="666"/>
      <c r="H20" s="666"/>
      <c r="I20" s="666"/>
      <c r="J20" s="666"/>
      <c r="K20" s="453"/>
      <c r="L20" s="665"/>
      <c r="M20" s="666"/>
      <c r="N20" s="666"/>
      <c r="O20" s="666"/>
      <c r="P20" s="670"/>
    </row>
    <row r="21" spans="1:16" s="186" customFormat="1" ht="24" customHeight="1">
      <c r="A21" s="558"/>
      <c r="B21" s="254"/>
      <c r="C21" s="672" t="s">
        <v>308</v>
      </c>
      <c r="D21" s="669" t="s">
        <v>80</v>
      </c>
      <c r="E21" s="663">
        <v>989730</v>
      </c>
      <c r="F21" s="663">
        <v>19520</v>
      </c>
      <c r="G21" s="663">
        <f>SUM(E21-F21)</f>
        <v>970210</v>
      </c>
      <c r="H21" s="663">
        <f>SUM(J21,L21)</f>
        <v>971060</v>
      </c>
      <c r="I21" s="663">
        <v>0</v>
      </c>
      <c r="J21" s="663">
        <v>242765</v>
      </c>
      <c r="K21" s="452"/>
      <c r="L21" s="663">
        <v>728295</v>
      </c>
      <c r="M21" s="663">
        <v>0</v>
      </c>
      <c r="N21" s="663">
        <v>0</v>
      </c>
      <c r="O21" s="663">
        <v>0</v>
      </c>
      <c r="P21" s="669" t="s">
        <v>77</v>
      </c>
    </row>
    <row r="22" spans="1:16" s="186" customFormat="1" ht="12" customHeight="1">
      <c r="A22" s="558"/>
      <c r="B22" s="254"/>
      <c r="C22" s="683"/>
      <c r="D22" s="670"/>
      <c r="E22" s="666"/>
      <c r="F22" s="666"/>
      <c r="G22" s="666"/>
      <c r="H22" s="666"/>
      <c r="I22" s="666"/>
      <c r="J22" s="666"/>
      <c r="K22" s="453"/>
      <c r="L22" s="665"/>
      <c r="M22" s="666"/>
      <c r="N22" s="666"/>
      <c r="O22" s="666"/>
      <c r="P22" s="670"/>
    </row>
    <row r="23" spans="1:16" s="186" customFormat="1" ht="23.25" customHeight="1">
      <c r="A23" s="558"/>
      <c r="B23" s="254"/>
      <c r="C23" s="556" t="s">
        <v>81</v>
      </c>
      <c r="D23" s="249" t="s">
        <v>82</v>
      </c>
      <c r="E23" s="459">
        <v>983441</v>
      </c>
      <c r="F23" s="459">
        <v>50000</v>
      </c>
      <c r="G23" s="459">
        <f>SUM(E23-F23)</f>
        <v>933441</v>
      </c>
      <c r="H23" s="459">
        <v>328000</v>
      </c>
      <c r="I23" s="459">
        <v>328000</v>
      </c>
      <c r="J23" s="459">
        <v>0</v>
      </c>
      <c r="K23" s="459"/>
      <c r="L23" s="459">
        <v>0</v>
      </c>
      <c r="M23" s="459">
        <v>0</v>
      </c>
      <c r="N23" s="459">
        <v>0</v>
      </c>
      <c r="O23" s="459">
        <v>0</v>
      </c>
      <c r="P23" s="249" t="s">
        <v>77</v>
      </c>
    </row>
    <row r="24" spans="1:16" s="186" customFormat="1" ht="12.75">
      <c r="A24" s="558"/>
      <c r="B24" s="254"/>
      <c r="C24" s="672" t="s">
        <v>309</v>
      </c>
      <c r="D24" s="669" t="s">
        <v>83</v>
      </c>
      <c r="E24" s="663">
        <v>2890720</v>
      </c>
      <c r="F24" s="663">
        <v>0</v>
      </c>
      <c r="G24" s="663">
        <f>SUM(E24-F24)</f>
        <v>2890720</v>
      </c>
      <c r="H24" s="663">
        <v>120000</v>
      </c>
      <c r="I24" s="663">
        <v>30000</v>
      </c>
      <c r="J24" s="663">
        <v>0</v>
      </c>
      <c r="K24" s="452"/>
      <c r="L24" s="663">
        <v>90000</v>
      </c>
      <c r="M24" s="663">
        <v>780000</v>
      </c>
      <c r="N24" s="663">
        <v>692680</v>
      </c>
      <c r="O24" s="663">
        <v>500000</v>
      </c>
      <c r="P24" s="669" t="s">
        <v>77</v>
      </c>
    </row>
    <row r="25" spans="1:16" s="186" customFormat="1" ht="9.75" customHeight="1">
      <c r="A25" s="558"/>
      <c r="B25" s="254"/>
      <c r="C25" s="673"/>
      <c r="D25" s="670"/>
      <c r="E25" s="666"/>
      <c r="F25" s="666"/>
      <c r="G25" s="666"/>
      <c r="H25" s="666"/>
      <c r="I25" s="666"/>
      <c r="J25" s="666"/>
      <c r="K25" s="453"/>
      <c r="L25" s="665"/>
      <c r="M25" s="666"/>
      <c r="N25" s="666"/>
      <c r="O25" s="666"/>
      <c r="P25" s="670"/>
    </row>
    <row r="26" spans="1:16" s="186" customFormat="1" ht="22.5" customHeight="1">
      <c r="A26" s="558"/>
      <c r="B26" s="254"/>
      <c r="C26" s="555" t="s">
        <v>315</v>
      </c>
      <c r="D26" s="543"/>
      <c r="E26" s="468">
        <v>30000</v>
      </c>
      <c r="F26" s="468"/>
      <c r="G26" s="468"/>
      <c r="H26" s="468">
        <v>30000</v>
      </c>
      <c r="I26" s="468">
        <v>30000</v>
      </c>
      <c r="J26" s="468"/>
      <c r="K26" s="468"/>
      <c r="L26" s="544"/>
      <c r="M26" s="468"/>
      <c r="N26" s="468"/>
      <c r="O26" s="468"/>
      <c r="P26" s="249" t="s">
        <v>77</v>
      </c>
    </row>
    <row r="27" spans="1:16" s="279" customFormat="1" ht="25.5">
      <c r="A27" s="253">
        <v>600</v>
      </c>
      <c r="B27" s="253">
        <v>60053</v>
      </c>
      <c r="C27" s="343" t="s">
        <v>285</v>
      </c>
      <c r="D27" s="253"/>
      <c r="E27" s="458">
        <f aca="true" t="shared" si="2" ref="E27:J27">SUM(E28)</f>
        <v>2230000</v>
      </c>
      <c r="F27" s="458">
        <f t="shared" si="2"/>
        <v>0</v>
      </c>
      <c r="G27" s="458">
        <f t="shared" si="2"/>
        <v>2242200</v>
      </c>
      <c r="H27" s="458">
        <f t="shared" si="2"/>
        <v>557500</v>
      </c>
      <c r="I27" s="458">
        <f t="shared" si="2"/>
        <v>0</v>
      </c>
      <c r="J27" s="458">
        <f t="shared" si="2"/>
        <v>0</v>
      </c>
      <c r="K27" s="458">
        <f>SUM(K29)</f>
        <v>139375</v>
      </c>
      <c r="L27" s="458">
        <f>SUM(L28)</f>
        <v>418125</v>
      </c>
      <c r="M27" s="458">
        <f>SUM(M28)</f>
        <v>557500</v>
      </c>
      <c r="N27" s="458">
        <f>SUM(N28)</f>
        <v>1672500</v>
      </c>
      <c r="O27" s="458">
        <f>SUM(O28)</f>
        <v>0</v>
      </c>
      <c r="P27" s="253"/>
    </row>
    <row r="28" spans="1:16" s="279" customFormat="1" ht="16.5" customHeight="1">
      <c r="A28" s="221"/>
      <c r="B28" s="222"/>
      <c r="C28" s="687" t="s">
        <v>155</v>
      </c>
      <c r="D28" s="669">
        <v>2006</v>
      </c>
      <c r="E28" s="663">
        <v>2230000</v>
      </c>
      <c r="F28" s="663">
        <v>0</v>
      </c>
      <c r="G28" s="663">
        <v>2242200</v>
      </c>
      <c r="H28" s="663">
        <v>557500</v>
      </c>
      <c r="I28" s="663">
        <v>0</v>
      </c>
      <c r="J28" s="663">
        <v>0</v>
      </c>
      <c r="K28" s="270" t="s">
        <v>145</v>
      </c>
      <c r="L28" s="671">
        <v>418125</v>
      </c>
      <c r="M28" s="663">
        <v>557500</v>
      </c>
      <c r="N28" s="663">
        <v>1672500</v>
      </c>
      <c r="O28" s="690">
        <v>0</v>
      </c>
      <c r="P28" s="669" t="s">
        <v>130</v>
      </c>
    </row>
    <row r="29" spans="1:16" s="251" customFormat="1" ht="30" customHeight="1">
      <c r="A29" s="379"/>
      <c r="B29" s="229"/>
      <c r="C29" s="688"/>
      <c r="D29" s="689"/>
      <c r="E29" s="666"/>
      <c r="F29" s="666"/>
      <c r="G29" s="666"/>
      <c r="H29" s="666"/>
      <c r="I29" s="666"/>
      <c r="J29" s="666"/>
      <c r="K29" s="468">
        <v>139375</v>
      </c>
      <c r="L29" s="665"/>
      <c r="M29" s="666"/>
      <c r="N29" s="666"/>
      <c r="O29" s="666"/>
      <c r="P29" s="689"/>
    </row>
    <row r="30" spans="1:16" s="279" customFormat="1" ht="12.75">
      <c r="A30" s="253">
        <v>750</v>
      </c>
      <c r="B30" s="253">
        <v>75020</v>
      </c>
      <c r="C30" s="343" t="s">
        <v>558</v>
      </c>
      <c r="D30" s="253"/>
      <c r="E30" s="458">
        <f>SUM(E31:E34)</f>
        <v>230000</v>
      </c>
      <c r="F30" s="458">
        <f aca="true" t="shared" si="3" ref="F30:O30">SUM(F31:F34)</f>
        <v>0</v>
      </c>
      <c r="G30" s="458">
        <f t="shared" si="3"/>
        <v>110000</v>
      </c>
      <c r="H30" s="458">
        <f t="shared" si="3"/>
        <v>230000</v>
      </c>
      <c r="I30" s="458">
        <f t="shared" si="3"/>
        <v>120000</v>
      </c>
      <c r="J30" s="458">
        <f t="shared" si="3"/>
        <v>110000</v>
      </c>
      <c r="K30" s="458">
        <f t="shared" si="3"/>
        <v>0</v>
      </c>
      <c r="L30" s="458">
        <f t="shared" si="3"/>
        <v>0</v>
      </c>
      <c r="M30" s="458">
        <f t="shared" si="3"/>
        <v>110000</v>
      </c>
      <c r="N30" s="458">
        <f t="shared" si="3"/>
        <v>0</v>
      </c>
      <c r="O30" s="458">
        <f t="shared" si="3"/>
        <v>0</v>
      </c>
      <c r="P30" s="253"/>
    </row>
    <row r="31" spans="1:16" s="251" customFormat="1" ht="55.5" customHeight="1">
      <c r="A31" s="375"/>
      <c r="B31" s="375"/>
      <c r="C31" s="347" t="s">
        <v>131</v>
      </c>
      <c r="D31" s="249">
        <v>2006</v>
      </c>
      <c r="E31" s="459">
        <v>110000</v>
      </c>
      <c r="F31" s="459">
        <v>0</v>
      </c>
      <c r="G31" s="459">
        <v>110000</v>
      </c>
      <c r="H31" s="459">
        <v>110000</v>
      </c>
      <c r="I31" s="459">
        <v>0</v>
      </c>
      <c r="J31" s="459">
        <v>110000</v>
      </c>
      <c r="K31" s="459"/>
      <c r="L31" s="460">
        <v>0</v>
      </c>
      <c r="M31" s="459">
        <v>110000</v>
      </c>
      <c r="N31" s="67">
        <v>0</v>
      </c>
      <c r="O31" s="67">
        <v>0</v>
      </c>
      <c r="P31" s="249" t="s">
        <v>130</v>
      </c>
    </row>
    <row r="32" spans="1:16" s="251" customFormat="1" ht="33" customHeight="1">
      <c r="A32" s="375">
        <v>750</v>
      </c>
      <c r="B32" s="375">
        <v>75020</v>
      </c>
      <c r="C32" s="347" t="s">
        <v>312</v>
      </c>
      <c r="D32" s="249"/>
      <c r="E32" s="459">
        <v>99300</v>
      </c>
      <c r="F32" s="459"/>
      <c r="G32" s="459"/>
      <c r="H32" s="459">
        <v>99300</v>
      </c>
      <c r="I32" s="459">
        <v>99300</v>
      </c>
      <c r="J32" s="459">
        <v>0</v>
      </c>
      <c r="K32" s="459">
        <v>0</v>
      </c>
      <c r="L32" s="460">
        <v>0</v>
      </c>
      <c r="M32" s="459"/>
      <c r="N32" s="67">
        <v>0</v>
      </c>
      <c r="O32" s="67">
        <v>0</v>
      </c>
      <c r="P32" s="249" t="s">
        <v>130</v>
      </c>
    </row>
    <row r="33" spans="1:16" s="251" customFormat="1" ht="33" customHeight="1">
      <c r="A33" s="554"/>
      <c r="B33" s="226"/>
      <c r="C33" s="565" t="s">
        <v>313</v>
      </c>
      <c r="D33" s="543"/>
      <c r="E33" s="468">
        <v>8000</v>
      </c>
      <c r="F33" s="468"/>
      <c r="G33" s="468"/>
      <c r="H33" s="468">
        <v>8000</v>
      </c>
      <c r="I33" s="468">
        <v>8000</v>
      </c>
      <c r="J33" s="468">
        <v>0</v>
      </c>
      <c r="K33" s="468">
        <v>0</v>
      </c>
      <c r="L33" s="566">
        <v>0</v>
      </c>
      <c r="M33" s="468"/>
      <c r="N33" s="453">
        <v>0</v>
      </c>
      <c r="O33" s="453">
        <v>0</v>
      </c>
      <c r="P33" s="543" t="s">
        <v>130</v>
      </c>
    </row>
    <row r="34" spans="1:16" s="251" customFormat="1" ht="33" customHeight="1">
      <c r="A34" s="379"/>
      <c r="B34" s="229"/>
      <c r="C34" s="553" t="s">
        <v>314</v>
      </c>
      <c r="D34" s="249"/>
      <c r="E34" s="459">
        <v>12700</v>
      </c>
      <c r="F34" s="459"/>
      <c r="G34" s="459"/>
      <c r="H34" s="459">
        <v>12700</v>
      </c>
      <c r="I34" s="459">
        <v>12700</v>
      </c>
      <c r="J34" s="459">
        <v>0</v>
      </c>
      <c r="K34" s="459">
        <v>0</v>
      </c>
      <c r="L34" s="460">
        <v>0</v>
      </c>
      <c r="M34" s="459"/>
      <c r="N34" s="67">
        <v>0</v>
      </c>
      <c r="O34" s="67">
        <v>0</v>
      </c>
      <c r="P34" s="249" t="s">
        <v>130</v>
      </c>
    </row>
    <row r="35" spans="1:16" s="251" customFormat="1" ht="33" customHeight="1">
      <c r="A35" s="545">
        <v>754</v>
      </c>
      <c r="B35" s="375">
        <v>75414</v>
      </c>
      <c r="C35" s="560" t="s">
        <v>575</v>
      </c>
      <c r="D35" s="249"/>
      <c r="E35" s="458">
        <f>SUM(E36:E37)</f>
        <v>9000</v>
      </c>
      <c r="F35" s="458">
        <f>SUM(F36:F37)</f>
        <v>0</v>
      </c>
      <c r="G35" s="458">
        <f>SUM(G36:G37)</f>
        <v>0</v>
      </c>
      <c r="H35" s="458">
        <f>SUM(H36:H37)</f>
        <v>9000</v>
      </c>
      <c r="I35" s="458">
        <f>SUM(I36:I37)</f>
        <v>9000</v>
      </c>
      <c r="J35" s="458">
        <f aca="true" t="shared" si="4" ref="J35:O35">SUM(J36)</f>
        <v>0</v>
      </c>
      <c r="K35" s="458">
        <f t="shared" si="4"/>
        <v>0</v>
      </c>
      <c r="L35" s="458">
        <f t="shared" si="4"/>
        <v>0</v>
      </c>
      <c r="M35" s="458">
        <f t="shared" si="4"/>
        <v>0</v>
      </c>
      <c r="N35" s="458">
        <f t="shared" si="4"/>
        <v>0</v>
      </c>
      <c r="O35" s="458">
        <f t="shared" si="4"/>
        <v>0</v>
      </c>
      <c r="P35" s="249"/>
    </row>
    <row r="36" spans="1:16" s="251" customFormat="1" ht="33" customHeight="1">
      <c r="A36" s="554"/>
      <c r="B36" s="226"/>
      <c r="C36" s="553" t="s">
        <v>316</v>
      </c>
      <c r="D36" s="249"/>
      <c r="E36" s="459">
        <v>3000</v>
      </c>
      <c r="F36" s="459"/>
      <c r="G36" s="459"/>
      <c r="H36" s="459">
        <v>3000</v>
      </c>
      <c r="I36" s="459">
        <v>3000</v>
      </c>
      <c r="J36" s="459"/>
      <c r="K36" s="459"/>
      <c r="L36" s="460"/>
      <c r="M36" s="459"/>
      <c r="N36" s="67"/>
      <c r="O36" s="67"/>
      <c r="P36" s="249" t="s">
        <v>130</v>
      </c>
    </row>
    <row r="37" spans="1:16" s="251" customFormat="1" ht="37.5" customHeight="1">
      <c r="A37" s="554"/>
      <c r="B37" s="226"/>
      <c r="C37" s="553" t="s">
        <v>317</v>
      </c>
      <c r="D37" s="249"/>
      <c r="E37" s="459">
        <v>6000</v>
      </c>
      <c r="F37" s="459"/>
      <c r="G37" s="459"/>
      <c r="H37" s="459">
        <v>6000</v>
      </c>
      <c r="I37" s="459">
        <v>6000</v>
      </c>
      <c r="J37" s="459"/>
      <c r="K37" s="459"/>
      <c r="L37" s="460"/>
      <c r="M37" s="459"/>
      <c r="N37" s="67"/>
      <c r="O37" s="67"/>
      <c r="P37" s="249" t="s">
        <v>130</v>
      </c>
    </row>
    <row r="38" spans="1:16" s="279" customFormat="1" ht="12.75">
      <c r="A38" s="253">
        <v>852</v>
      </c>
      <c r="B38" s="253">
        <v>85218</v>
      </c>
      <c r="C38" s="343" t="s">
        <v>700</v>
      </c>
      <c r="D38" s="253"/>
      <c r="E38" s="458">
        <f>SUM(E39:E40)</f>
        <v>70000</v>
      </c>
      <c r="F38" s="458">
        <f>SUM(F39:F40)</f>
        <v>0</v>
      </c>
      <c r="G38" s="458">
        <f>SUM(G39:G40)</f>
        <v>0</v>
      </c>
      <c r="H38" s="458">
        <f>SUM(H39:H40)</f>
        <v>70000</v>
      </c>
      <c r="I38" s="458">
        <f>SUM(I39:I40)</f>
        <v>70000</v>
      </c>
      <c r="J38" s="458">
        <f aca="true" t="shared" si="5" ref="J38:O38">SUM(J39)</f>
        <v>0</v>
      </c>
      <c r="K38" s="458">
        <f t="shared" si="5"/>
        <v>0</v>
      </c>
      <c r="L38" s="458">
        <f t="shared" si="5"/>
        <v>0</v>
      </c>
      <c r="M38" s="458">
        <f t="shared" si="5"/>
        <v>0</v>
      </c>
      <c r="N38" s="458">
        <f t="shared" si="5"/>
        <v>0</v>
      </c>
      <c r="O38" s="458">
        <f t="shared" si="5"/>
        <v>0</v>
      </c>
      <c r="P38" s="253"/>
    </row>
    <row r="39" spans="1:16" s="279" customFormat="1" ht="16.5" customHeight="1">
      <c r="A39" s="221"/>
      <c r="B39" s="222"/>
      <c r="C39" s="347" t="s">
        <v>318</v>
      </c>
      <c r="D39" s="667">
        <v>2006</v>
      </c>
      <c r="E39" s="459">
        <v>40000</v>
      </c>
      <c r="F39" s="459"/>
      <c r="G39" s="459"/>
      <c r="H39" s="459">
        <v>40000</v>
      </c>
      <c r="I39" s="459">
        <v>40000</v>
      </c>
      <c r="J39" s="459"/>
      <c r="K39" s="270"/>
      <c r="L39" s="561"/>
      <c r="M39" s="459"/>
      <c r="N39" s="459"/>
      <c r="O39" s="458"/>
      <c r="P39" s="249" t="s">
        <v>320</v>
      </c>
    </row>
    <row r="40" spans="1:16" s="251" customFormat="1" ht="30" customHeight="1">
      <c r="A40" s="379"/>
      <c r="B40" s="229"/>
      <c r="C40" s="562" t="s">
        <v>319</v>
      </c>
      <c r="D40" s="668"/>
      <c r="E40" s="459">
        <v>30000</v>
      </c>
      <c r="F40" s="459"/>
      <c r="G40" s="459"/>
      <c r="H40" s="459">
        <v>30000</v>
      </c>
      <c r="I40" s="459">
        <v>30000</v>
      </c>
      <c r="J40" s="459"/>
      <c r="K40" s="459"/>
      <c r="L40" s="564"/>
      <c r="M40" s="459"/>
      <c r="N40" s="459"/>
      <c r="O40" s="459"/>
      <c r="P40" s="563" t="s">
        <v>320</v>
      </c>
    </row>
    <row r="41" spans="1:16" s="346" customFormat="1" ht="22.5" customHeight="1">
      <c r="A41" s="680" t="s">
        <v>389</v>
      </c>
      <c r="B41" s="681"/>
      <c r="C41" s="681"/>
      <c r="D41" s="682"/>
      <c r="E41" s="461">
        <f aca="true" t="shared" si="6" ref="E41:O41">SUM(E38,E35,E30,E27,E15)</f>
        <v>15233616</v>
      </c>
      <c r="F41" s="461">
        <f t="shared" si="6"/>
        <v>3120161</v>
      </c>
      <c r="G41" s="461">
        <f t="shared" si="6"/>
        <v>11896655</v>
      </c>
      <c r="H41" s="461">
        <f t="shared" si="6"/>
        <v>5102999</v>
      </c>
      <c r="I41" s="461">
        <f t="shared" si="6"/>
        <v>587000</v>
      </c>
      <c r="J41" s="461">
        <f t="shared" si="6"/>
        <v>1109626</v>
      </c>
      <c r="K41" s="461">
        <f t="shared" si="6"/>
        <v>139375</v>
      </c>
      <c r="L41" s="461">
        <f t="shared" si="6"/>
        <v>3266998</v>
      </c>
      <c r="M41" s="461">
        <f t="shared" si="6"/>
        <v>1947500</v>
      </c>
      <c r="N41" s="461">
        <f t="shared" si="6"/>
        <v>2752020</v>
      </c>
      <c r="O41" s="461">
        <f t="shared" si="6"/>
        <v>800000</v>
      </c>
      <c r="P41" s="345" t="s">
        <v>156</v>
      </c>
    </row>
    <row r="42" spans="1:16" ht="26.25" customHeight="1">
      <c r="A42" s="684" t="s">
        <v>311</v>
      </c>
      <c r="B42" s="685"/>
      <c r="C42" s="685"/>
      <c r="D42" s="686"/>
      <c r="E42" s="461">
        <f>SUM(H42,N42,O42)</f>
        <v>4309520</v>
      </c>
      <c r="F42" s="461">
        <f aca="true" t="shared" si="7" ref="F42:O42">SUM(F16,F24,F27)</f>
        <v>1926378</v>
      </c>
      <c r="G42" s="461">
        <f t="shared" si="7"/>
        <v>6599940</v>
      </c>
      <c r="H42" s="461">
        <f t="shared" si="7"/>
        <v>757500</v>
      </c>
      <c r="I42" s="461">
        <f t="shared" si="7"/>
        <v>30000</v>
      </c>
      <c r="J42" s="461">
        <f t="shared" si="7"/>
        <v>80000</v>
      </c>
      <c r="K42" s="461">
        <f t="shared" si="7"/>
        <v>139375</v>
      </c>
      <c r="L42" s="461">
        <f t="shared" si="7"/>
        <v>508125</v>
      </c>
      <c r="M42" s="461">
        <f t="shared" si="7"/>
        <v>1837500</v>
      </c>
      <c r="N42" s="461">
        <f t="shared" si="7"/>
        <v>2752020</v>
      </c>
      <c r="O42" s="461">
        <f t="shared" si="7"/>
        <v>800000</v>
      </c>
      <c r="P42" s="345" t="s">
        <v>156</v>
      </c>
    </row>
  </sheetData>
  <mergeCells count="84">
    <mergeCell ref="M28:M29"/>
    <mergeCell ref="N28:N29"/>
    <mergeCell ref="O28:O29"/>
    <mergeCell ref="P28:P29"/>
    <mergeCell ref="A42:D42"/>
    <mergeCell ref="P24:P25"/>
    <mergeCell ref="C28:C29"/>
    <mergeCell ref="D28:D29"/>
    <mergeCell ref="E28:E29"/>
    <mergeCell ref="F28:F29"/>
    <mergeCell ref="G28:G29"/>
    <mergeCell ref="H28:H29"/>
    <mergeCell ref="I28:I29"/>
    <mergeCell ref="J28:J29"/>
    <mergeCell ref="A41:D41"/>
    <mergeCell ref="M21:M22"/>
    <mergeCell ref="N21:N22"/>
    <mergeCell ref="O21:O22"/>
    <mergeCell ref="C21:C22"/>
    <mergeCell ref="D21:D22"/>
    <mergeCell ref="E21:E22"/>
    <mergeCell ref="F21:F22"/>
    <mergeCell ref="G21:G22"/>
    <mergeCell ref="H21:H22"/>
    <mergeCell ref="I21:I22"/>
    <mergeCell ref="J21:J22"/>
    <mergeCell ref="P11:P13"/>
    <mergeCell ref="H12:H13"/>
    <mergeCell ref="I12:L12"/>
    <mergeCell ref="M12:M13"/>
    <mergeCell ref="N12:N13"/>
    <mergeCell ref="O12:O13"/>
    <mergeCell ref="J17:J18"/>
    <mergeCell ref="J19:J20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O11"/>
    <mergeCell ref="C17:C18"/>
    <mergeCell ref="D17:D18"/>
    <mergeCell ref="E17:E18"/>
    <mergeCell ref="F17:F18"/>
    <mergeCell ref="G19:G20"/>
    <mergeCell ref="H19:H20"/>
    <mergeCell ref="I19:I20"/>
    <mergeCell ref="G17:G18"/>
    <mergeCell ref="H17:H18"/>
    <mergeCell ref="I17:I18"/>
    <mergeCell ref="C19:C20"/>
    <mergeCell ref="D19:D20"/>
    <mergeCell ref="E19:E20"/>
    <mergeCell ref="F19:F20"/>
    <mergeCell ref="C24:C25"/>
    <mergeCell ref="D24:D25"/>
    <mergeCell ref="E24:E25"/>
    <mergeCell ref="F24:F25"/>
    <mergeCell ref="P17:P18"/>
    <mergeCell ref="P19:P20"/>
    <mergeCell ref="M17:M18"/>
    <mergeCell ref="N17:N18"/>
    <mergeCell ref="O17:O18"/>
    <mergeCell ref="M19:M20"/>
    <mergeCell ref="N19:N20"/>
    <mergeCell ref="O19:O20"/>
    <mergeCell ref="M24:M25"/>
    <mergeCell ref="D39:D40"/>
    <mergeCell ref="P21:P22"/>
    <mergeCell ref="N24:N25"/>
    <mergeCell ref="O24:O25"/>
    <mergeCell ref="L28:L29"/>
    <mergeCell ref="G24:G25"/>
    <mergeCell ref="H24:H25"/>
    <mergeCell ref="I24:I25"/>
    <mergeCell ref="J24:J25"/>
    <mergeCell ref="L17:L18"/>
    <mergeCell ref="L19:L20"/>
    <mergeCell ref="L21:L22"/>
    <mergeCell ref="L24:L25"/>
  </mergeCells>
  <printOptions/>
  <pageMargins left="0.85" right="0.16" top="0.91" bottom="0.5" header="0.16" footer="0.21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8.25390625" style="0" customWidth="1"/>
    <col min="4" max="4" width="42.375" style="0" customWidth="1"/>
    <col min="5" max="5" width="18.625" style="0" customWidth="1"/>
    <col min="6" max="6" width="14.375" style="0" customWidth="1"/>
  </cols>
  <sheetData>
    <row r="1" ht="12.75">
      <c r="E1" s="130" t="s">
        <v>143</v>
      </c>
    </row>
    <row r="2" ht="14.25">
      <c r="E2" s="176" t="s">
        <v>764</v>
      </c>
    </row>
    <row r="3" ht="14.25">
      <c r="E3" s="176" t="s">
        <v>46</v>
      </c>
    </row>
    <row r="5" spans="2:6" s="46" customFormat="1" ht="18">
      <c r="B5" s="57" t="s">
        <v>388</v>
      </c>
      <c r="C5" s="3"/>
      <c r="D5" s="3"/>
      <c r="E5" s="3"/>
      <c r="F5" s="3"/>
    </row>
    <row r="6" spans="2:6" ht="18">
      <c r="B6" s="3"/>
      <c r="C6" s="3"/>
      <c r="D6" s="3"/>
      <c r="E6" s="401" t="s">
        <v>484</v>
      </c>
      <c r="F6" s="401"/>
    </row>
    <row r="7" spans="1:5" s="246" customFormat="1" ht="40.5" customHeight="1">
      <c r="A7" s="245" t="s">
        <v>488</v>
      </c>
      <c r="B7" s="245" t="s">
        <v>420</v>
      </c>
      <c r="C7" s="245" t="s">
        <v>421</v>
      </c>
      <c r="D7" s="245" t="s">
        <v>422</v>
      </c>
      <c r="E7" s="400" t="s">
        <v>387</v>
      </c>
    </row>
    <row r="8" spans="1:5" s="403" customFormat="1" ht="11.25">
      <c r="A8" s="357" t="s">
        <v>428</v>
      </c>
      <c r="B8" s="357" t="s">
        <v>429</v>
      </c>
      <c r="C8" s="357" t="s">
        <v>430</v>
      </c>
      <c r="D8" s="357" t="s">
        <v>419</v>
      </c>
      <c r="E8" s="357" t="s">
        <v>439</v>
      </c>
    </row>
    <row r="9" spans="1:5" s="10" customFormat="1" ht="38.25">
      <c r="A9" s="169" t="s">
        <v>428</v>
      </c>
      <c r="B9" s="169">
        <v>600</v>
      </c>
      <c r="C9" s="169">
        <v>60014</v>
      </c>
      <c r="D9" s="99" t="s">
        <v>228</v>
      </c>
      <c r="E9" s="456">
        <v>90000</v>
      </c>
    </row>
    <row r="10" spans="1:5" s="10" customFormat="1" ht="76.5">
      <c r="A10" s="169" t="s">
        <v>429</v>
      </c>
      <c r="B10" s="169">
        <v>600</v>
      </c>
      <c r="C10" s="169">
        <v>60014</v>
      </c>
      <c r="D10" s="99" t="s">
        <v>325</v>
      </c>
      <c r="E10" s="456">
        <v>100000</v>
      </c>
    </row>
    <row r="11" spans="1:5" s="10" customFormat="1" ht="76.5">
      <c r="A11" s="169" t="s">
        <v>430</v>
      </c>
      <c r="B11" s="169">
        <v>851</v>
      </c>
      <c r="C11" s="169">
        <v>85111</v>
      </c>
      <c r="D11" s="293" t="s">
        <v>144</v>
      </c>
      <c r="E11" s="294">
        <v>4000000</v>
      </c>
    </row>
    <row r="12" spans="1:5" s="10" customFormat="1" ht="76.5">
      <c r="A12" s="169" t="s">
        <v>419</v>
      </c>
      <c r="B12" s="169">
        <v>851</v>
      </c>
      <c r="C12" s="169">
        <v>85111</v>
      </c>
      <c r="D12" s="293" t="s">
        <v>374</v>
      </c>
      <c r="E12" s="294">
        <v>912000</v>
      </c>
    </row>
    <row r="13" spans="1:5" s="10" customFormat="1" ht="63.75">
      <c r="A13" s="169" t="s">
        <v>435</v>
      </c>
      <c r="B13" s="169">
        <v>851</v>
      </c>
      <c r="C13" s="169">
        <v>85111</v>
      </c>
      <c r="D13" s="293" t="s">
        <v>326</v>
      </c>
      <c r="E13" s="294">
        <v>0</v>
      </c>
    </row>
    <row r="14" spans="1:5" s="80" customFormat="1" ht="27.75" customHeight="1">
      <c r="A14" s="691" t="s">
        <v>389</v>
      </c>
      <c r="B14" s="692"/>
      <c r="C14" s="693"/>
      <c r="D14" s="402"/>
      <c r="E14" s="457">
        <f>SUM(E9:E13)</f>
        <v>5102000</v>
      </c>
    </row>
  </sheetData>
  <mergeCells count="1">
    <mergeCell ref="A14:C14"/>
  </mergeCells>
  <printOptions/>
  <pageMargins left="1.13" right="0.2" top="1.08" bottom="0.62" header="0.5" footer="0.3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E1">
      <pane ySplit="3795" topLeftCell="BM74" activePane="topLeft" state="split"/>
      <selection pane="topLeft" activeCell="Q2" sqref="Q2"/>
      <selection pane="bottomLeft" activeCell="C82" sqref="C82:Q82"/>
    </sheetView>
  </sheetViews>
  <sheetFormatPr defaultColWidth="9.00390625" defaultRowHeight="12.75"/>
  <cols>
    <col min="1" max="1" width="3.625" style="463" bestFit="1" customWidth="1"/>
    <col min="2" max="2" width="19.75390625" style="463" bestFit="1" customWidth="1"/>
    <col min="3" max="3" width="11.125" style="463" customWidth="1"/>
    <col min="4" max="4" width="9.375" style="463" customWidth="1"/>
    <col min="5" max="5" width="10.25390625" style="463" customWidth="1"/>
    <col min="6" max="6" width="8.375" style="463" customWidth="1"/>
    <col min="7" max="7" width="8.00390625" style="463" customWidth="1"/>
    <col min="8" max="8" width="7.75390625" style="463" customWidth="1"/>
    <col min="9" max="9" width="8.75390625" style="463" customWidth="1"/>
    <col min="10" max="10" width="8.00390625" style="463" customWidth="1"/>
    <col min="11" max="11" width="7.00390625" style="463" bestFit="1" customWidth="1"/>
    <col min="12" max="12" width="8.875" style="463" bestFit="1" customWidth="1"/>
    <col min="13" max="13" width="8.125" style="463" customWidth="1"/>
    <col min="14" max="14" width="12.375" style="463" customWidth="1"/>
    <col min="15" max="15" width="7.125" style="463" customWidth="1"/>
    <col min="16" max="16" width="7.00390625" style="463" bestFit="1" customWidth="1"/>
    <col min="17" max="17" width="7.875" style="463" bestFit="1" customWidth="1"/>
    <col min="18" max="16384" width="10.25390625" style="463" customWidth="1"/>
  </cols>
  <sheetData>
    <row r="1" ht="12">
      <c r="Q1" s="533" t="s">
        <v>295</v>
      </c>
    </row>
    <row r="2" ht="14.25">
      <c r="Q2" s="176" t="s">
        <v>764</v>
      </c>
    </row>
    <row r="3" ht="14.25">
      <c r="Q3" s="176" t="s">
        <v>46</v>
      </c>
    </row>
    <row r="5" spans="1:17" ht="11.25">
      <c r="A5" s="721" t="s">
        <v>236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</row>
    <row r="7" spans="1:17" ht="11.25">
      <c r="A7" s="719" t="s">
        <v>425</v>
      </c>
      <c r="B7" s="719" t="s">
        <v>237</v>
      </c>
      <c r="C7" s="720" t="s">
        <v>238</v>
      </c>
      <c r="D7" s="720" t="s">
        <v>239</v>
      </c>
      <c r="E7" s="720" t="s">
        <v>240</v>
      </c>
      <c r="F7" s="719" t="s">
        <v>241</v>
      </c>
      <c r="G7" s="719"/>
      <c r="H7" s="719" t="s">
        <v>443</v>
      </c>
      <c r="I7" s="719"/>
      <c r="J7" s="719"/>
      <c r="K7" s="719"/>
      <c r="L7" s="719"/>
      <c r="M7" s="719"/>
      <c r="N7" s="719"/>
      <c r="O7" s="719"/>
      <c r="P7" s="719"/>
      <c r="Q7" s="719"/>
    </row>
    <row r="8" spans="1:17" ht="11.25">
      <c r="A8" s="719"/>
      <c r="B8" s="719"/>
      <c r="C8" s="720"/>
      <c r="D8" s="720"/>
      <c r="E8" s="720"/>
      <c r="F8" s="720" t="s">
        <v>242</v>
      </c>
      <c r="G8" s="720" t="s">
        <v>243</v>
      </c>
      <c r="H8" s="719" t="s">
        <v>244</v>
      </c>
      <c r="I8" s="719"/>
      <c r="J8" s="719"/>
      <c r="K8" s="719"/>
      <c r="L8" s="719"/>
      <c r="M8" s="719"/>
      <c r="N8" s="719"/>
      <c r="O8" s="719"/>
      <c r="P8" s="719"/>
      <c r="Q8" s="719"/>
    </row>
    <row r="9" spans="1:17" ht="11.25">
      <c r="A9" s="719"/>
      <c r="B9" s="719"/>
      <c r="C9" s="720"/>
      <c r="D9" s="720"/>
      <c r="E9" s="720"/>
      <c r="F9" s="720"/>
      <c r="G9" s="720"/>
      <c r="H9" s="720" t="s">
        <v>245</v>
      </c>
      <c r="I9" s="719" t="s">
        <v>246</v>
      </c>
      <c r="J9" s="719"/>
      <c r="K9" s="719"/>
      <c r="L9" s="719"/>
      <c r="M9" s="719"/>
      <c r="N9" s="719"/>
      <c r="O9" s="719"/>
      <c r="P9" s="719"/>
      <c r="Q9" s="719"/>
    </row>
    <row r="10" spans="1:17" ht="14.25" customHeight="1">
      <c r="A10" s="719"/>
      <c r="B10" s="719"/>
      <c r="C10" s="720"/>
      <c r="D10" s="720"/>
      <c r="E10" s="720"/>
      <c r="F10" s="720"/>
      <c r="G10" s="720"/>
      <c r="H10" s="720"/>
      <c r="I10" s="719" t="s">
        <v>247</v>
      </c>
      <c r="J10" s="719"/>
      <c r="K10" s="719"/>
      <c r="L10" s="719"/>
      <c r="M10" s="719" t="s">
        <v>243</v>
      </c>
      <c r="N10" s="719"/>
      <c r="O10" s="719"/>
      <c r="P10" s="719"/>
      <c r="Q10" s="719"/>
    </row>
    <row r="11" spans="1:17" ht="11.25">
      <c r="A11" s="719"/>
      <c r="B11" s="719"/>
      <c r="C11" s="720"/>
      <c r="D11" s="720"/>
      <c r="E11" s="720"/>
      <c r="F11" s="720"/>
      <c r="G11" s="720"/>
      <c r="H11" s="720"/>
      <c r="I11" s="720" t="s">
        <v>248</v>
      </c>
      <c r="J11" s="719" t="s">
        <v>249</v>
      </c>
      <c r="K11" s="719"/>
      <c r="L11" s="719"/>
      <c r="M11" s="720" t="s">
        <v>250</v>
      </c>
      <c r="N11" s="720" t="s">
        <v>249</v>
      </c>
      <c r="O11" s="720"/>
      <c r="P11" s="720"/>
      <c r="Q11" s="720"/>
    </row>
    <row r="12" spans="1:17" ht="48" customHeight="1">
      <c r="A12" s="719"/>
      <c r="B12" s="719"/>
      <c r="C12" s="720"/>
      <c r="D12" s="720"/>
      <c r="E12" s="720"/>
      <c r="F12" s="720"/>
      <c r="G12" s="720"/>
      <c r="H12" s="720"/>
      <c r="I12" s="720"/>
      <c r="J12" s="464" t="s">
        <v>251</v>
      </c>
      <c r="K12" s="464" t="s">
        <v>252</v>
      </c>
      <c r="L12" s="464" t="s">
        <v>253</v>
      </c>
      <c r="M12" s="720"/>
      <c r="N12" s="464" t="s">
        <v>254</v>
      </c>
      <c r="O12" s="464" t="s">
        <v>251</v>
      </c>
      <c r="P12" s="464" t="s">
        <v>252</v>
      </c>
      <c r="Q12" s="464" t="s">
        <v>255</v>
      </c>
    </row>
    <row r="13" spans="1:17" ht="11.25">
      <c r="A13" s="548">
        <v>1</v>
      </c>
      <c r="B13" s="548">
        <v>2</v>
      </c>
      <c r="C13" s="465">
        <v>3</v>
      </c>
      <c r="D13" s="465">
        <v>4</v>
      </c>
      <c r="E13" s="465">
        <v>5</v>
      </c>
      <c r="F13" s="465">
        <v>6</v>
      </c>
      <c r="G13" s="465">
        <v>7</v>
      </c>
      <c r="H13" s="465">
        <v>8</v>
      </c>
      <c r="I13" s="465">
        <v>9</v>
      </c>
      <c r="J13" s="465">
        <v>10</v>
      </c>
      <c r="K13" s="465">
        <v>11</v>
      </c>
      <c r="L13" s="465">
        <v>12</v>
      </c>
      <c r="M13" s="465">
        <v>13</v>
      </c>
      <c r="N13" s="465">
        <v>14</v>
      </c>
      <c r="O13" s="465">
        <v>15</v>
      </c>
      <c r="P13" s="465">
        <v>16</v>
      </c>
      <c r="Q13" s="465">
        <v>17</v>
      </c>
    </row>
    <row r="14" spans="1:17" ht="11.25">
      <c r="A14" s="549">
        <v>1</v>
      </c>
      <c r="B14" s="550" t="s">
        <v>256</v>
      </c>
      <c r="C14" s="708" t="s">
        <v>257</v>
      </c>
      <c r="D14" s="709"/>
      <c r="E14" s="546">
        <f>SUM(E19,E28,E37,E46,E55,E64)</f>
        <v>7334839</v>
      </c>
      <c r="F14" s="546">
        <f aca="true" t="shared" si="0" ref="F14:P14">SUM(F19,F28,F37,F46,F55,F64)</f>
        <v>1918956</v>
      </c>
      <c r="G14" s="546">
        <f t="shared" si="0"/>
        <v>5415883</v>
      </c>
      <c r="H14" s="546">
        <f t="shared" si="0"/>
        <v>4465999</v>
      </c>
      <c r="I14" s="546">
        <f t="shared" si="0"/>
        <v>1199001</v>
      </c>
      <c r="J14" s="546">
        <f t="shared" si="0"/>
        <v>1029626</v>
      </c>
      <c r="K14" s="546">
        <f t="shared" si="0"/>
        <v>0</v>
      </c>
      <c r="L14" s="546">
        <f t="shared" si="0"/>
        <v>169375</v>
      </c>
      <c r="M14" s="546">
        <f t="shared" si="0"/>
        <v>3266998</v>
      </c>
      <c r="N14" s="546">
        <f t="shared" si="0"/>
        <v>0</v>
      </c>
      <c r="O14" s="546">
        <f t="shared" si="0"/>
        <v>0</v>
      </c>
      <c r="P14" s="546">
        <f t="shared" si="0"/>
        <v>0</v>
      </c>
      <c r="Q14" s="466"/>
    </row>
    <row r="15" spans="1:17" ht="12.75">
      <c r="A15" s="700" t="s">
        <v>258</v>
      </c>
      <c r="B15" s="551" t="s">
        <v>259</v>
      </c>
      <c r="C15" s="694" t="s">
        <v>275</v>
      </c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6"/>
    </row>
    <row r="16" spans="1:17" ht="12.75">
      <c r="A16" s="700"/>
      <c r="B16" s="551" t="s">
        <v>260</v>
      </c>
      <c r="C16" s="694" t="s">
        <v>375</v>
      </c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6"/>
    </row>
    <row r="17" spans="1:17" ht="12.75">
      <c r="A17" s="700"/>
      <c r="B17" s="551" t="s">
        <v>261</v>
      </c>
      <c r="C17" s="694" t="s">
        <v>376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6"/>
    </row>
    <row r="18" spans="1:17" ht="12.75">
      <c r="A18" s="700"/>
      <c r="B18" s="551" t="s">
        <v>262</v>
      </c>
      <c r="C18" s="694" t="s">
        <v>756</v>
      </c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6"/>
    </row>
    <row r="19" spans="1:17" ht="11.25">
      <c r="A19" s="700"/>
      <c r="B19" s="551" t="s">
        <v>263</v>
      </c>
      <c r="C19" s="466"/>
      <c r="D19" s="466"/>
      <c r="E19" s="467">
        <f>SUM(E20:E22)</f>
        <v>2230000</v>
      </c>
      <c r="F19" s="467">
        <f>SUM(F20:F22)</f>
        <v>557500</v>
      </c>
      <c r="G19" s="467">
        <f>SUM(G20:G22)</f>
        <v>1672500</v>
      </c>
      <c r="H19" s="467">
        <f>SUM(I19,M19)</f>
        <v>557500</v>
      </c>
      <c r="I19" s="467">
        <f>J19+K19+L19</f>
        <v>139375</v>
      </c>
      <c r="J19" s="467">
        <v>0</v>
      </c>
      <c r="K19" s="467">
        <v>0</v>
      </c>
      <c r="L19" s="467">
        <v>139375</v>
      </c>
      <c r="M19" s="467">
        <f>N19+O19+P19+Q19</f>
        <v>418125</v>
      </c>
      <c r="N19" s="467">
        <v>0</v>
      </c>
      <c r="O19" s="467">
        <v>0</v>
      </c>
      <c r="P19" s="467">
        <v>0</v>
      </c>
      <c r="Q19" s="467">
        <v>418125</v>
      </c>
    </row>
    <row r="20" spans="1:17" ht="11.25">
      <c r="A20" s="700"/>
      <c r="B20" s="551" t="s">
        <v>264</v>
      </c>
      <c r="C20" s="701">
        <v>321</v>
      </c>
      <c r="D20" s="704" t="s">
        <v>377</v>
      </c>
      <c r="E20" s="467">
        <f>SUM(F20,G20)</f>
        <v>0</v>
      </c>
      <c r="F20" s="467">
        <v>0</v>
      </c>
      <c r="G20" s="467">
        <v>0</v>
      </c>
      <c r="H20" s="697"/>
      <c r="I20" s="697"/>
      <c r="J20" s="697"/>
      <c r="K20" s="697"/>
      <c r="L20" s="697"/>
      <c r="M20" s="697"/>
      <c r="N20" s="697"/>
      <c r="O20" s="697"/>
      <c r="P20" s="697"/>
      <c r="Q20" s="697"/>
    </row>
    <row r="21" spans="1:17" ht="11.25">
      <c r="A21" s="700"/>
      <c r="B21" s="551" t="s">
        <v>244</v>
      </c>
      <c r="C21" s="702"/>
      <c r="D21" s="705"/>
      <c r="E21" s="467">
        <f>SUM(F21,G21)</f>
        <v>557500</v>
      </c>
      <c r="F21" s="467">
        <v>139375</v>
      </c>
      <c r="G21" s="467">
        <v>418125</v>
      </c>
      <c r="H21" s="698"/>
      <c r="I21" s="698"/>
      <c r="J21" s="698"/>
      <c r="K21" s="698"/>
      <c r="L21" s="698"/>
      <c r="M21" s="698"/>
      <c r="N21" s="698"/>
      <c r="O21" s="698"/>
      <c r="P21" s="698"/>
      <c r="Q21" s="698"/>
    </row>
    <row r="22" spans="1:17" ht="11.25">
      <c r="A22" s="700"/>
      <c r="B22" s="551" t="s">
        <v>265</v>
      </c>
      <c r="C22" s="702"/>
      <c r="D22" s="705"/>
      <c r="E22" s="467">
        <f>SUM(F22,G22)</f>
        <v>1672500</v>
      </c>
      <c r="F22" s="467">
        <v>418125</v>
      </c>
      <c r="G22" s="467">
        <v>1254375</v>
      </c>
      <c r="H22" s="698"/>
      <c r="I22" s="698"/>
      <c r="J22" s="698"/>
      <c r="K22" s="698"/>
      <c r="L22" s="698"/>
      <c r="M22" s="698"/>
      <c r="N22" s="698"/>
      <c r="O22" s="698"/>
      <c r="P22" s="698"/>
      <c r="Q22" s="698"/>
    </row>
    <row r="23" spans="1:17" ht="11.25">
      <c r="A23" s="700"/>
      <c r="B23" s="551" t="s">
        <v>266</v>
      </c>
      <c r="C23" s="703"/>
      <c r="D23" s="706"/>
      <c r="E23" s="467">
        <f>SUM(F23,G23)</f>
        <v>0</v>
      </c>
      <c r="F23" s="467"/>
      <c r="G23" s="467"/>
      <c r="H23" s="699"/>
      <c r="I23" s="699"/>
      <c r="J23" s="699"/>
      <c r="K23" s="699"/>
      <c r="L23" s="699"/>
      <c r="M23" s="699"/>
      <c r="N23" s="699"/>
      <c r="O23" s="699"/>
      <c r="P23" s="699"/>
      <c r="Q23" s="699"/>
    </row>
    <row r="24" spans="1:17" ht="12.75">
      <c r="A24" s="700" t="s">
        <v>267</v>
      </c>
      <c r="B24" s="551" t="s">
        <v>259</v>
      </c>
      <c r="C24" s="694" t="s">
        <v>275</v>
      </c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6"/>
    </row>
    <row r="25" spans="1:17" ht="12.75">
      <c r="A25" s="700"/>
      <c r="B25" s="551" t="s">
        <v>260</v>
      </c>
      <c r="C25" s="694" t="s">
        <v>375</v>
      </c>
      <c r="D25" s="695"/>
      <c r="E25" s="695"/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695"/>
      <c r="Q25" s="696"/>
    </row>
    <row r="26" spans="1:17" ht="12.75">
      <c r="A26" s="700"/>
      <c r="B26" s="551" t="s">
        <v>261</v>
      </c>
      <c r="C26" s="694" t="s">
        <v>376</v>
      </c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6"/>
    </row>
    <row r="27" spans="1:17" ht="12.75">
      <c r="A27" s="700"/>
      <c r="B27" s="551" t="s">
        <v>262</v>
      </c>
      <c r="C27" s="694" t="s">
        <v>297</v>
      </c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6"/>
    </row>
    <row r="28" spans="1:17" ht="11.25">
      <c r="A28" s="700"/>
      <c r="B28" s="551" t="s">
        <v>263</v>
      </c>
      <c r="C28" s="466"/>
      <c r="D28" s="466"/>
      <c r="E28" s="467">
        <f>SUM(E29:E31)</f>
        <v>110000</v>
      </c>
      <c r="F28" s="467">
        <f>SUM(F29:F31)</f>
        <v>110000</v>
      </c>
      <c r="G28" s="467">
        <f>SUM(G29:G31)</f>
        <v>0</v>
      </c>
      <c r="H28" s="467">
        <f>SUM(I28,M28)</f>
        <v>110000</v>
      </c>
      <c r="I28" s="467">
        <f>J28+K28+L28</f>
        <v>110000</v>
      </c>
      <c r="J28" s="467">
        <v>110000</v>
      </c>
      <c r="K28" s="467">
        <v>0</v>
      </c>
      <c r="L28" s="467">
        <v>0</v>
      </c>
      <c r="M28" s="467">
        <f>N28+O28+P28+Q28</f>
        <v>0</v>
      </c>
      <c r="N28" s="467">
        <v>0</v>
      </c>
      <c r="O28" s="467">
        <v>0</v>
      </c>
      <c r="P28" s="467">
        <v>0</v>
      </c>
      <c r="Q28" s="467"/>
    </row>
    <row r="29" spans="1:17" ht="11.25">
      <c r="A29" s="700"/>
      <c r="B29" s="551" t="s">
        <v>264</v>
      </c>
      <c r="C29" s="701" t="s">
        <v>298</v>
      </c>
      <c r="D29" s="704" t="s">
        <v>299</v>
      </c>
      <c r="E29" s="467">
        <f>SUM(F29,G29)</f>
        <v>0</v>
      </c>
      <c r="F29" s="467">
        <v>0</v>
      </c>
      <c r="G29" s="467">
        <v>0</v>
      </c>
      <c r="H29" s="697"/>
      <c r="I29" s="697"/>
      <c r="J29" s="697"/>
      <c r="K29" s="697"/>
      <c r="L29" s="697"/>
      <c r="M29" s="697"/>
      <c r="N29" s="697"/>
      <c r="O29" s="697"/>
      <c r="P29" s="697"/>
      <c r="Q29" s="697"/>
    </row>
    <row r="30" spans="1:17" ht="11.25">
      <c r="A30" s="700"/>
      <c r="B30" s="551" t="s">
        <v>244</v>
      </c>
      <c r="C30" s="702"/>
      <c r="D30" s="705"/>
      <c r="E30" s="467">
        <f>SUM(F30,G30)</f>
        <v>110000</v>
      </c>
      <c r="F30" s="467">
        <v>110000</v>
      </c>
      <c r="G30" s="467"/>
      <c r="H30" s="698"/>
      <c r="I30" s="698"/>
      <c r="J30" s="698"/>
      <c r="K30" s="698"/>
      <c r="L30" s="698"/>
      <c r="M30" s="698"/>
      <c r="N30" s="698"/>
      <c r="O30" s="698"/>
      <c r="P30" s="698"/>
      <c r="Q30" s="698"/>
    </row>
    <row r="31" spans="1:17" ht="11.25">
      <c r="A31" s="700"/>
      <c r="B31" s="551" t="s">
        <v>265</v>
      </c>
      <c r="C31" s="702"/>
      <c r="D31" s="705"/>
      <c r="E31" s="467">
        <f>SUM(F31,G31)</f>
        <v>0</v>
      </c>
      <c r="F31" s="467"/>
      <c r="G31" s="467"/>
      <c r="H31" s="698"/>
      <c r="I31" s="698"/>
      <c r="J31" s="698"/>
      <c r="K31" s="698"/>
      <c r="L31" s="698"/>
      <c r="M31" s="698"/>
      <c r="N31" s="698"/>
      <c r="O31" s="698"/>
      <c r="P31" s="698"/>
      <c r="Q31" s="698"/>
    </row>
    <row r="32" spans="1:17" ht="11.25">
      <c r="A32" s="700"/>
      <c r="B32" s="551" t="s">
        <v>266</v>
      </c>
      <c r="C32" s="703"/>
      <c r="D32" s="706"/>
      <c r="E32" s="467">
        <f>SUM(F32,G32)</f>
        <v>0</v>
      </c>
      <c r="F32" s="467"/>
      <c r="G32" s="467"/>
      <c r="H32" s="699"/>
      <c r="I32" s="699"/>
      <c r="J32" s="699"/>
      <c r="K32" s="699"/>
      <c r="L32" s="699"/>
      <c r="M32" s="699"/>
      <c r="N32" s="699"/>
      <c r="O32" s="699"/>
      <c r="P32" s="699"/>
      <c r="Q32" s="699"/>
    </row>
    <row r="33" spans="1:17" ht="12.75">
      <c r="A33" s="700" t="s">
        <v>268</v>
      </c>
      <c r="B33" s="551" t="s">
        <v>259</v>
      </c>
      <c r="C33" s="694" t="s">
        <v>275</v>
      </c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6"/>
    </row>
    <row r="34" spans="1:17" ht="12.75">
      <c r="A34" s="700"/>
      <c r="B34" s="551" t="s">
        <v>260</v>
      </c>
      <c r="C34" s="694" t="s">
        <v>301</v>
      </c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6"/>
    </row>
    <row r="35" spans="1:17" ht="12.75">
      <c r="A35" s="700"/>
      <c r="B35" s="551" t="s">
        <v>261</v>
      </c>
      <c r="C35" s="694" t="s">
        <v>300</v>
      </c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6"/>
    </row>
    <row r="36" spans="1:17" ht="12.75">
      <c r="A36" s="700"/>
      <c r="B36" s="551" t="s">
        <v>262</v>
      </c>
      <c r="C36" s="694" t="s">
        <v>302</v>
      </c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6"/>
    </row>
    <row r="37" spans="1:17" ht="11.25">
      <c r="A37" s="700"/>
      <c r="B37" s="551" t="s">
        <v>263</v>
      </c>
      <c r="C37" s="466"/>
      <c r="D37" s="466"/>
      <c r="E37" s="467">
        <f>SUM(E38:E40)</f>
        <v>630214</v>
      </c>
      <c r="F37" s="467">
        <f>SUM(F38:F40)</f>
        <v>160299</v>
      </c>
      <c r="G37" s="467">
        <f>SUM(G38:G40)</f>
        <v>469915</v>
      </c>
      <c r="H37" s="467">
        <f>SUM(I37,M37)</f>
        <v>626554</v>
      </c>
      <c r="I37" s="467">
        <f>J37+K37+L37</f>
        <v>156639</v>
      </c>
      <c r="J37" s="467">
        <f>SUM(F39)</f>
        <v>156639</v>
      </c>
      <c r="K37" s="467">
        <v>0</v>
      </c>
      <c r="L37" s="467">
        <v>0</v>
      </c>
      <c r="M37" s="467">
        <f>N37+O37+P37+Q37</f>
        <v>469915</v>
      </c>
      <c r="N37" s="467">
        <v>0</v>
      </c>
      <c r="O37" s="467">
        <v>0</v>
      </c>
      <c r="P37" s="467">
        <v>0</v>
      </c>
      <c r="Q37" s="467">
        <f>SUM(G39)</f>
        <v>469915</v>
      </c>
    </row>
    <row r="38" spans="1:17" ht="11.25">
      <c r="A38" s="700"/>
      <c r="B38" s="551" t="s">
        <v>264</v>
      </c>
      <c r="C38" s="701">
        <v>312</v>
      </c>
      <c r="D38" s="704" t="s">
        <v>304</v>
      </c>
      <c r="E38" s="467">
        <f>SUM(F38,G38)</f>
        <v>3660</v>
      </c>
      <c r="F38" s="467">
        <v>3660</v>
      </c>
      <c r="G38" s="467">
        <v>0</v>
      </c>
      <c r="H38" s="697"/>
      <c r="I38" s="697"/>
      <c r="J38" s="697"/>
      <c r="K38" s="697"/>
      <c r="L38" s="697"/>
      <c r="M38" s="697"/>
      <c r="N38" s="697"/>
      <c r="O38" s="697"/>
      <c r="P38" s="697"/>
      <c r="Q38" s="697"/>
    </row>
    <row r="39" spans="1:17" ht="11.25">
      <c r="A39" s="700"/>
      <c r="B39" s="551" t="s">
        <v>244</v>
      </c>
      <c r="C39" s="702"/>
      <c r="D39" s="705"/>
      <c r="E39" s="467">
        <f>SUM(F39,G39)</f>
        <v>626554</v>
      </c>
      <c r="F39" s="467">
        <v>156639</v>
      </c>
      <c r="G39" s="467">
        <v>469915</v>
      </c>
      <c r="H39" s="698"/>
      <c r="I39" s="698"/>
      <c r="J39" s="698"/>
      <c r="K39" s="698"/>
      <c r="L39" s="698"/>
      <c r="M39" s="698"/>
      <c r="N39" s="698"/>
      <c r="O39" s="698"/>
      <c r="P39" s="698"/>
      <c r="Q39" s="698"/>
    </row>
    <row r="40" spans="1:17" ht="11.25">
      <c r="A40" s="700"/>
      <c r="B40" s="551" t="s">
        <v>265</v>
      </c>
      <c r="C40" s="702"/>
      <c r="D40" s="705"/>
      <c r="E40" s="467">
        <f>SUM(F40,G40)</f>
        <v>0</v>
      </c>
      <c r="F40" s="467"/>
      <c r="G40" s="467"/>
      <c r="H40" s="698"/>
      <c r="I40" s="698"/>
      <c r="J40" s="698"/>
      <c r="K40" s="698"/>
      <c r="L40" s="698"/>
      <c r="M40" s="698"/>
      <c r="N40" s="698"/>
      <c r="O40" s="698"/>
      <c r="P40" s="698"/>
      <c r="Q40" s="698"/>
    </row>
    <row r="41" spans="1:17" ht="11.25">
      <c r="A41" s="700"/>
      <c r="B41" s="551" t="s">
        <v>266</v>
      </c>
      <c r="C41" s="703"/>
      <c r="D41" s="706"/>
      <c r="E41" s="467">
        <f>SUM(F41,G41)</f>
        <v>0</v>
      </c>
      <c r="F41" s="467"/>
      <c r="G41" s="467"/>
      <c r="H41" s="699"/>
      <c r="I41" s="699"/>
      <c r="J41" s="699"/>
      <c r="K41" s="699"/>
      <c r="L41" s="699"/>
      <c r="M41" s="699"/>
      <c r="N41" s="699"/>
      <c r="O41" s="699"/>
      <c r="P41" s="699"/>
      <c r="Q41" s="699"/>
    </row>
    <row r="42" spans="1:17" ht="15" customHeight="1">
      <c r="A42" s="700" t="s">
        <v>282</v>
      </c>
      <c r="B42" s="551" t="s">
        <v>259</v>
      </c>
      <c r="C42" s="694" t="s">
        <v>275</v>
      </c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6"/>
    </row>
    <row r="43" spans="1:17" ht="12.75">
      <c r="A43" s="700"/>
      <c r="B43" s="551" t="s">
        <v>260</v>
      </c>
      <c r="C43" s="694" t="s">
        <v>301</v>
      </c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6"/>
    </row>
    <row r="44" spans="1:17" ht="12.75">
      <c r="A44" s="700"/>
      <c r="B44" s="551" t="s">
        <v>261</v>
      </c>
      <c r="C44" s="694" t="s">
        <v>300</v>
      </c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6"/>
    </row>
    <row r="45" spans="1:17" ht="12.75">
      <c r="A45" s="700"/>
      <c r="B45" s="551" t="s">
        <v>262</v>
      </c>
      <c r="C45" s="694" t="s">
        <v>305</v>
      </c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6"/>
    </row>
    <row r="46" spans="1:17" ht="11.25">
      <c r="A46" s="700"/>
      <c r="B46" s="551" t="s">
        <v>263</v>
      </c>
      <c r="C46" s="466"/>
      <c r="D46" s="466"/>
      <c r="E46" s="467">
        <f>SUM(E47:E49)</f>
        <v>2080885</v>
      </c>
      <c r="F46" s="467">
        <f>SUM(F47:F49)</f>
        <v>520222</v>
      </c>
      <c r="G46" s="467">
        <f>SUM(G47:G49)</f>
        <v>1560663</v>
      </c>
      <c r="H46" s="467">
        <f>SUM(I46,M46)</f>
        <v>2080885</v>
      </c>
      <c r="I46" s="467">
        <f>J46+K46+L46</f>
        <v>520222</v>
      </c>
      <c r="J46" s="467">
        <v>520222</v>
      </c>
      <c r="K46" s="467">
        <v>0</v>
      </c>
      <c r="L46" s="467">
        <v>0</v>
      </c>
      <c r="M46" s="467">
        <f>N46+O46+P46+Q46</f>
        <v>1560663</v>
      </c>
      <c r="N46" s="467">
        <v>0</v>
      </c>
      <c r="O46" s="467">
        <v>0</v>
      </c>
      <c r="P46" s="467">
        <v>0</v>
      </c>
      <c r="Q46" s="467">
        <v>1560663</v>
      </c>
    </row>
    <row r="47" spans="1:17" ht="11.25">
      <c r="A47" s="700"/>
      <c r="B47" s="551" t="s">
        <v>264</v>
      </c>
      <c r="C47" s="701">
        <v>312</v>
      </c>
      <c r="D47" s="704" t="s">
        <v>304</v>
      </c>
      <c r="E47" s="467">
        <f>SUM(F47,G47)</f>
        <v>0</v>
      </c>
      <c r="F47" s="467">
        <v>0</v>
      </c>
      <c r="G47" s="467">
        <v>0</v>
      </c>
      <c r="H47" s="697"/>
      <c r="I47" s="697"/>
      <c r="J47" s="697"/>
      <c r="K47" s="697"/>
      <c r="L47" s="697"/>
      <c r="M47" s="697"/>
      <c r="N47" s="697"/>
      <c r="O47" s="697"/>
      <c r="P47" s="697"/>
      <c r="Q47" s="697"/>
    </row>
    <row r="48" spans="1:17" ht="11.25">
      <c r="A48" s="700"/>
      <c r="B48" s="551" t="s">
        <v>244</v>
      </c>
      <c r="C48" s="702"/>
      <c r="D48" s="705"/>
      <c r="E48" s="467">
        <f>SUM(F48,G48)</f>
        <v>2080885</v>
      </c>
      <c r="F48" s="467">
        <v>520222</v>
      </c>
      <c r="G48" s="467">
        <v>1560663</v>
      </c>
      <c r="H48" s="698"/>
      <c r="I48" s="698"/>
      <c r="J48" s="698"/>
      <c r="K48" s="698"/>
      <c r="L48" s="698"/>
      <c r="M48" s="698"/>
      <c r="N48" s="698"/>
      <c r="O48" s="698"/>
      <c r="P48" s="698"/>
      <c r="Q48" s="698"/>
    </row>
    <row r="49" spans="1:17" ht="11.25">
      <c r="A49" s="700"/>
      <c r="B49" s="551" t="s">
        <v>265</v>
      </c>
      <c r="C49" s="702"/>
      <c r="D49" s="705"/>
      <c r="E49" s="467">
        <f>SUM(F49,G49)</f>
        <v>0</v>
      </c>
      <c r="F49" s="467"/>
      <c r="G49" s="467"/>
      <c r="H49" s="698"/>
      <c r="I49" s="698"/>
      <c r="J49" s="698"/>
      <c r="K49" s="698"/>
      <c r="L49" s="698"/>
      <c r="M49" s="698"/>
      <c r="N49" s="698"/>
      <c r="O49" s="698"/>
      <c r="P49" s="698"/>
      <c r="Q49" s="698"/>
    </row>
    <row r="50" spans="1:17" ht="11.25">
      <c r="A50" s="700"/>
      <c r="B50" s="551" t="s">
        <v>266</v>
      </c>
      <c r="C50" s="703"/>
      <c r="D50" s="706"/>
      <c r="E50" s="467">
        <f>SUM(F50,G50)</f>
        <v>0</v>
      </c>
      <c r="F50" s="467"/>
      <c r="G50" s="467"/>
      <c r="H50" s="699"/>
      <c r="I50" s="699"/>
      <c r="J50" s="699"/>
      <c r="K50" s="699"/>
      <c r="L50" s="699"/>
      <c r="M50" s="699"/>
      <c r="N50" s="699"/>
      <c r="O50" s="699"/>
      <c r="P50" s="699"/>
      <c r="Q50" s="699"/>
    </row>
    <row r="51" spans="1:17" ht="13.5" customHeight="1">
      <c r="A51" s="700" t="s">
        <v>283</v>
      </c>
      <c r="B51" s="551" t="s">
        <v>259</v>
      </c>
      <c r="C51" s="694" t="s">
        <v>275</v>
      </c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6"/>
    </row>
    <row r="52" spans="1:17" ht="17.25" customHeight="1">
      <c r="A52" s="700"/>
      <c r="B52" s="551" t="s">
        <v>260</v>
      </c>
      <c r="C52" s="694" t="s">
        <v>301</v>
      </c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6"/>
    </row>
    <row r="53" spans="1:17" ht="15.75" customHeight="1">
      <c r="A53" s="700"/>
      <c r="B53" s="551" t="s">
        <v>261</v>
      </c>
      <c r="C53" s="694" t="s">
        <v>300</v>
      </c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6"/>
    </row>
    <row r="54" spans="1:17" ht="12.75">
      <c r="A54" s="700"/>
      <c r="B54" s="551" t="s">
        <v>262</v>
      </c>
      <c r="C54" s="694" t="s">
        <v>307</v>
      </c>
      <c r="D54" s="695"/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695"/>
      <c r="P54" s="695"/>
      <c r="Q54" s="696"/>
    </row>
    <row r="55" spans="1:17" ht="11.25">
      <c r="A55" s="700"/>
      <c r="B55" s="551" t="s">
        <v>263</v>
      </c>
      <c r="C55" s="466"/>
      <c r="D55" s="466"/>
      <c r="E55" s="467">
        <f>SUM(E56:E58)</f>
        <v>971060</v>
      </c>
      <c r="F55" s="467">
        <f>SUM(F56:F58)</f>
        <v>242765</v>
      </c>
      <c r="G55" s="467">
        <f>SUM(G56:G58)</f>
        <v>728295</v>
      </c>
      <c r="H55" s="467">
        <f>SUM(I55,M55)</f>
        <v>971060</v>
      </c>
      <c r="I55" s="467">
        <f>J55+K55+L55</f>
        <v>242765</v>
      </c>
      <c r="J55" s="467">
        <v>242765</v>
      </c>
      <c r="K55" s="467">
        <v>0</v>
      </c>
      <c r="L55" s="467">
        <v>0</v>
      </c>
      <c r="M55" s="467">
        <f>N55+O55+P55+Q55</f>
        <v>728295</v>
      </c>
      <c r="N55" s="467">
        <v>0</v>
      </c>
      <c r="O55" s="467">
        <v>0</v>
      </c>
      <c r="P55" s="467">
        <v>0</v>
      </c>
      <c r="Q55" s="467">
        <v>728295</v>
      </c>
    </row>
    <row r="56" spans="1:17" ht="11.25">
      <c r="A56" s="700"/>
      <c r="B56" s="551" t="s">
        <v>264</v>
      </c>
      <c r="C56" s="701">
        <v>312</v>
      </c>
      <c r="D56" s="704" t="s">
        <v>304</v>
      </c>
      <c r="E56" s="467">
        <f>SUM(F56,G56)</f>
        <v>0</v>
      </c>
      <c r="F56" s="467">
        <v>0</v>
      </c>
      <c r="G56" s="467">
        <v>0</v>
      </c>
      <c r="H56" s="697"/>
      <c r="I56" s="697"/>
      <c r="J56" s="697"/>
      <c r="K56" s="697"/>
      <c r="L56" s="697"/>
      <c r="M56" s="697"/>
      <c r="N56" s="697"/>
      <c r="O56" s="697"/>
      <c r="P56" s="697"/>
      <c r="Q56" s="697"/>
    </row>
    <row r="57" spans="1:17" ht="11.25">
      <c r="A57" s="700"/>
      <c r="B57" s="551" t="s">
        <v>244</v>
      </c>
      <c r="C57" s="702"/>
      <c r="D57" s="705"/>
      <c r="E57" s="467">
        <f>SUM(F57,G57)</f>
        <v>971060</v>
      </c>
      <c r="F57" s="467">
        <v>242765</v>
      </c>
      <c r="G57" s="467">
        <v>728295</v>
      </c>
      <c r="H57" s="698"/>
      <c r="I57" s="698"/>
      <c r="J57" s="698"/>
      <c r="K57" s="698"/>
      <c r="L57" s="698"/>
      <c r="M57" s="698"/>
      <c r="N57" s="698"/>
      <c r="O57" s="698"/>
      <c r="P57" s="698"/>
      <c r="Q57" s="698"/>
    </row>
    <row r="58" spans="1:17" ht="11.25">
      <c r="A58" s="700"/>
      <c r="B58" s="551" t="s">
        <v>265</v>
      </c>
      <c r="C58" s="702"/>
      <c r="D58" s="705"/>
      <c r="E58" s="467">
        <f>SUM(F58,G58)</f>
        <v>0</v>
      </c>
      <c r="F58" s="467"/>
      <c r="G58" s="467"/>
      <c r="H58" s="698"/>
      <c r="I58" s="698"/>
      <c r="J58" s="698"/>
      <c r="K58" s="698"/>
      <c r="L58" s="698"/>
      <c r="M58" s="698"/>
      <c r="N58" s="698"/>
      <c r="O58" s="698"/>
      <c r="P58" s="698"/>
      <c r="Q58" s="698"/>
    </row>
    <row r="59" spans="1:17" ht="11.25">
      <c r="A59" s="700"/>
      <c r="B59" s="551" t="s">
        <v>266</v>
      </c>
      <c r="C59" s="703"/>
      <c r="D59" s="706"/>
      <c r="E59" s="467">
        <f>SUM(F59,G59)</f>
        <v>0</v>
      </c>
      <c r="F59" s="467"/>
      <c r="G59" s="467"/>
      <c r="H59" s="699"/>
      <c r="I59" s="699"/>
      <c r="J59" s="699"/>
      <c r="K59" s="699"/>
      <c r="L59" s="699"/>
      <c r="M59" s="699"/>
      <c r="N59" s="699"/>
      <c r="O59" s="699"/>
      <c r="P59" s="699"/>
      <c r="Q59" s="699"/>
    </row>
    <row r="60" spans="1:17" ht="12.75">
      <c r="A60" s="700" t="s">
        <v>284</v>
      </c>
      <c r="B60" s="551" t="s">
        <v>259</v>
      </c>
      <c r="C60" s="694" t="s">
        <v>275</v>
      </c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695"/>
      <c r="Q60" s="696"/>
    </row>
    <row r="61" spans="1:17" ht="12.75">
      <c r="A61" s="700"/>
      <c r="B61" s="551" t="s">
        <v>260</v>
      </c>
      <c r="C61" s="694" t="s">
        <v>301</v>
      </c>
      <c r="D61" s="695"/>
      <c r="E61" s="695"/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695"/>
      <c r="Q61" s="696"/>
    </row>
    <row r="62" spans="1:17" ht="12.75">
      <c r="A62" s="700"/>
      <c r="B62" s="551" t="s">
        <v>261</v>
      </c>
      <c r="C62" s="694" t="s">
        <v>300</v>
      </c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695"/>
      <c r="Q62" s="696"/>
    </row>
    <row r="63" spans="1:17" ht="12.75">
      <c r="A63" s="700"/>
      <c r="B63" s="551" t="s">
        <v>262</v>
      </c>
      <c r="C63" s="694" t="s">
        <v>309</v>
      </c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6"/>
    </row>
    <row r="64" spans="1:17" ht="11.25">
      <c r="A64" s="700"/>
      <c r="B64" s="551" t="s">
        <v>263</v>
      </c>
      <c r="C64" s="466"/>
      <c r="D64" s="466"/>
      <c r="E64" s="467">
        <f>SUM(E65:E68)</f>
        <v>1312680</v>
      </c>
      <c r="F64" s="467">
        <f>SUM(F65:F68)</f>
        <v>328170</v>
      </c>
      <c r="G64" s="467">
        <f>SUM(G65:G68)</f>
        <v>984510</v>
      </c>
      <c r="H64" s="467">
        <f>SUM(I64,M64)</f>
        <v>120000</v>
      </c>
      <c r="I64" s="467">
        <f>J64+K64+L64</f>
        <v>30000</v>
      </c>
      <c r="J64" s="467">
        <v>0</v>
      </c>
      <c r="K64" s="467">
        <v>0</v>
      </c>
      <c r="L64" s="467">
        <v>30000</v>
      </c>
      <c r="M64" s="467">
        <f>N64+O64+P64+Q64</f>
        <v>90000</v>
      </c>
      <c r="N64" s="467">
        <v>0</v>
      </c>
      <c r="O64" s="467">
        <v>0</v>
      </c>
      <c r="P64" s="467">
        <v>0</v>
      </c>
      <c r="Q64" s="467">
        <v>90000</v>
      </c>
    </row>
    <row r="65" spans="1:17" ht="11.25">
      <c r="A65" s="700"/>
      <c r="B65" s="551" t="s">
        <v>264</v>
      </c>
      <c r="C65" s="701">
        <v>312</v>
      </c>
      <c r="D65" s="704" t="s">
        <v>304</v>
      </c>
      <c r="E65" s="467">
        <f>SUM(F65,G65)</f>
        <v>0</v>
      </c>
      <c r="F65" s="467">
        <v>0</v>
      </c>
      <c r="G65" s="467">
        <v>0</v>
      </c>
      <c r="H65" s="697"/>
      <c r="I65" s="697"/>
      <c r="J65" s="697"/>
      <c r="K65" s="697"/>
      <c r="L65" s="697"/>
      <c r="M65" s="697"/>
      <c r="N65" s="697"/>
      <c r="O65" s="697"/>
      <c r="P65" s="697"/>
      <c r="Q65" s="697"/>
    </row>
    <row r="66" spans="1:17" ht="11.25">
      <c r="A66" s="700"/>
      <c r="B66" s="551" t="s">
        <v>244</v>
      </c>
      <c r="C66" s="702"/>
      <c r="D66" s="705"/>
      <c r="E66" s="467">
        <f>SUM(F66,G66)</f>
        <v>120000</v>
      </c>
      <c r="F66" s="467">
        <v>30000</v>
      </c>
      <c r="G66" s="467">
        <v>90000</v>
      </c>
      <c r="H66" s="698"/>
      <c r="I66" s="698"/>
      <c r="J66" s="698"/>
      <c r="K66" s="698"/>
      <c r="L66" s="698"/>
      <c r="M66" s="698"/>
      <c r="N66" s="698"/>
      <c r="O66" s="698"/>
      <c r="P66" s="698"/>
      <c r="Q66" s="698"/>
    </row>
    <row r="67" spans="1:17" ht="11.25">
      <c r="A67" s="700"/>
      <c r="B67" s="551" t="s">
        <v>265</v>
      </c>
      <c r="C67" s="702"/>
      <c r="D67" s="705"/>
      <c r="E67" s="467">
        <f>SUM(F67,G67)</f>
        <v>692680</v>
      </c>
      <c r="F67" s="467">
        <v>173170</v>
      </c>
      <c r="G67" s="467">
        <v>519510</v>
      </c>
      <c r="H67" s="698"/>
      <c r="I67" s="698"/>
      <c r="J67" s="698"/>
      <c r="K67" s="698"/>
      <c r="L67" s="698"/>
      <c r="M67" s="698"/>
      <c r="N67" s="698"/>
      <c r="O67" s="698"/>
      <c r="P67" s="698"/>
      <c r="Q67" s="698"/>
    </row>
    <row r="68" spans="1:17" ht="11.25">
      <c r="A68" s="700"/>
      <c r="B68" s="551" t="s">
        <v>266</v>
      </c>
      <c r="C68" s="703"/>
      <c r="D68" s="706"/>
      <c r="E68" s="467">
        <f>SUM(F68,G68)</f>
        <v>500000</v>
      </c>
      <c r="F68" s="467">
        <v>125000</v>
      </c>
      <c r="G68" s="467">
        <v>375000</v>
      </c>
      <c r="H68" s="699"/>
      <c r="I68" s="699"/>
      <c r="J68" s="699"/>
      <c r="K68" s="699"/>
      <c r="L68" s="699"/>
      <c r="M68" s="699"/>
      <c r="N68" s="699"/>
      <c r="O68" s="699"/>
      <c r="P68" s="699"/>
      <c r="Q68" s="699"/>
    </row>
    <row r="69" spans="1:17" s="547" customFormat="1" ht="15" customHeight="1">
      <c r="A69" s="552">
        <v>2</v>
      </c>
      <c r="B69" s="550" t="s">
        <v>269</v>
      </c>
      <c r="C69" s="714" t="s">
        <v>257</v>
      </c>
      <c r="D69" s="715"/>
      <c r="E69" s="546">
        <f>SUM(E74,E83)</f>
        <v>1541963</v>
      </c>
      <c r="F69" s="546">
        <f aca="true" t="shared" si="1" ref="F69:Q69">SUM(F74,F83)</f>
        <v>485939</v>
      </c>
      <c r="G69" s="546">
        <f t="shared" si="1"/>
        <v>1056024</v>
      </c>
      <c r="H69" s="546">
        <f t="shared" si="1"/>
        <v>1234560</v>
      </c>
      <c r="I69" s="546">
        <f t="shared" si="1"/>
        <v>389741</v>
      </c>
      <c r="J69" s="546">
        <f t="shared" si="1"/>
        <v>0</v>
      </c>
      <c r="K69" s="546">
        <f t="shared" si="1"/>
        <v>0</v>
      </c>
      <c r="L69" s="546">
        <f t="shared" si="1"/>
        <v>389741</v>
      </c>
      <c r="M69" s="546">
        <f t="shared" si="1"/>
        <v>844819</v>
      </c>
      <c r="N69" s="546">
        <f t="shared" si="1"/>
        <v>0</v>
      </c>
      <c r="O69" s="546">
        <f t="shared" si="1"/>
        <v>0</v>
      </c>
      <c r="P69" s="546">
        <f t="shared" si="1"/>
        <v>0</v>
      </c>
      <c r="Q69" s="546">
        <f t="shared" si="1"/>
        <v>844819</v>
      </c>
    </row>
    <row r="70" spans="1:17" ht="18.75" customHeight="1">
      <c r="A70" s="716" t="s">
        <v>270</v>
      </c>
      <c r="B70" s="551" t="s">
        <v>259</v>
      </c>
      <c r="C70" s="694" t="s">
        <v>275</v>
      </c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6"/>
    </row>
    <row r="71" spans="1:17" ht="17.25" customHeight="1">
      <c r="A71" s="717"/>
      <c r="B71" s="551" t="s">
        <v>260</v>
      </c>
      <c r="C71" s="694" t="s">
        <v>276</v>
      </c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6"/>
    </row>
    <row r="72" spans="1:17" ht="17.25" customHeight="1">
      <c r="A72" s="718"/>
      <c r="B72" s="551" t="s">
        <v>261</v>
      </c>
      <c r="C72" s="711" t="s">
        <v>277</v>
      </c>
      <c r="D72" s="712"/>
      <c r="E72" s="712"/>
      <c r="F72" s="712"/>
      <c r="G72" s="712"/>
      <c r="H72" s="712"/>
      <c r="I72" s="712"/>
      <c r="J72" s="712"/>
      <c r="K72" s="712"/>
      <c r="L72" s="712"/>
      <c r="M72" s="712"/>
      <c r="N72" s="712"/>
      <c r="O72" s="712"/>
      <c r="P72" s="712"/>
      <c r="Q72" s="713"/>
    </row>
    <row r="73" spans="1:17" ht="15.75" customHeight="1">
      <c r="A73" s="716" t="s">
        <v>270</v>
      </c>
      <c r="B73" s="551" t="s">
        <v>262</v>
      </c>
      <c r="C73" s="694" t="s">
        <v>278</v>
      </c>
      <c r="D73" s="695"/>
      <c r="E73" s="695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6"/>
    </row>
    <row r="74" spans="1:17" ht="11.25">
      <c r="A74" s="717"/>
      <c r="B74" s="551" t="s">
        <v>263</v>
      </c>
      <c r="C74" s="466"/>
      <c r="D74" s="466"/>
      <c r="E74" s="467">
        <f>SUM(E75:E76)</f>
        <v>1381400</v>
      </c>
      <c r="F74" s="467">
        <f>SUM(F75:F76)</f>
        <v>442048</v>
      </c>
      <c r="G74" s="467">
        <f>SUM(G75:G76)</f>
        <v>939352</v>
      </c>
      <c r="H74" s="467">
        <f>SUM(I74,M74)</f>
        <v>1105110</v>
      </c>
      <c r="I74" s="467">
        <f>J74+K74+L74</f>
        <v>353628</v>
      </c>
      <c r="J74" s="467">
        <v>0</v>
      </c>
      <c r="K74" s="467">
        <v>0</v>
      </c>
      <c r="L74" s="467">
        <v>353628</v>
      </c>
      <c r="M74" s="467">
        <f>N74+O74+P74+Q74</f>
        <v>751482</v>
      </c>
      <c r="N74" s="467">
        <v>0</v>
      </c>
      <c r="O74" s="467">
        <v>0</v>
      </c>
      <c r="P74" s="467">
        <v>0</v>
      </c>
      <c r="Q74" s="467">
        <v>751482</v>
      </c>
    </row>
    <row r="75" spans="1:17" ht="11.25">
      <c r="A75" s="717"/>
      <c r="B75" s="551" t="s">
        <v>264</v>
      </c>
      <c r="C75" s="701">
        <v>23</v>
      </c>
      <c r="D75" s="704" t="s">
        <v>279</v>
      </c>
      <c r="E75" s="467">
        <f>SUM(F75,G75)</f>
        <v>276280</v>
      </c>
      <c r="F75" s="467">
        <v>88410</v>
      </c>
      <c r="G75" s="467">
        <v>187870</v>
      </c>
      <c r="H75" s="697"/>
      <c r="I75" s="697"/>
      <c r="J75" s="697"/>
      <c r="K75" s="697"/>
      <c r="L75" s="697"/>
      <c r="M75" s="697"/>
      <c r="N75" s="697"/>
      <c r="O75" s="697"/>
      <c r="P75" s="697"/>
      <c r="Q75" s="697"/>
    </row>
    <row r="76" spans="1:17" ht="11.25">
      <c r="A76" s="717"/>
      <c r="B76" s="551" t="s">
        <v>244</v>
      </c>
      <c r="C76" s="702"/>
      <c r="D76" s="705"/>
      <c r="E76" s="467">
        <f>SUM(F76,G76)</f>
        <v>1105120</v>
      </c>
      <c r="F76" s="467">
        <v>353638</v>
      </c>
      <c r="G76" s="467">
        <v>751482</v>
      </c>
      <c r="H76" s="698"/>
      <c r="I76" s="698"/>
      <c r="J76" s="698"/>
      <c r="K76" s="698"/>
      <c r="L76" s="698"/>
      <c r="M76" s="698"/>
      <c r="N76" s="698"/>
      <c r="O76" s="698"/>
      <c r="P76" s="698"/>
      <c r="Q76" s="698"/>
    </row>
    <row r="77" spans="1:17" ht="11.25">
      <c r="A77" s="717"/>
      <c r="B77" s="551" t="s">
        <v>265</v>
      </c>
      <c r="C77" s="702"/>
      <c r="D77" s="705"/>
      <c r="E77" s="467">
        <f>SUM(F77,G77)</f>
        <v>0</v>
      </c>
      <c r="F77" s="467"/>
      <c r="G77" s="467"/>
      <c r="H77" s="698"/>
      <c r="I77" s="698"/>
      <c r="J77" s="698"/>
      <c r="K77" s="698"/>
      <c r="L77" s="698"/>
      <c r="M77" s="698"/>
      <c r="N77" s="698"/>
      <c r="O77" s="698"/>
      <c r="P77" s="698"/>
      <c r="Q77" s="698"/>
    </row>
    <row r="78" spans="1:17" ht="11.25">
      <c r="A78" s="718"/>
      <c r="B78" s="551" t="s">
        <v>266</v>
      </c>
      <c r="C78" s="703"/>
      <c r="D78" s="706"/>
      <c r="E78" s="467">
        <f>SUM(F78,G78)</f>
        <v>0</v>
      </c>
      <c r="F78" s="467"/>
      <c r="G78" s="467"/>
      <c r="H78" s="699"/>
      <c r="I78" s="699"/>
      <c r="J78" s="699"/>
      <c r="K78" s="699"/>
      <c r="L78" s="699"/>
      <c r="M78" s="699"/>
      <c r="N78" s="699"/>
      <c r="O78" s="699"/>
      <c r="P78" s="699"/>
      <c r="Q78" s="699"/>
    </row>
    <row r="79" spans="1:17" ht="12.75">
      <c r="A79" s="700" t="s">
        <v>271</v>
      </c>
      <c r="B79" s="551" t="s">
        <v>259</v>
      </c>
      <c r="C79" s="694" t="s">
        <v>275</v>
      </c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6"/>
    </row>
    <row r="80" spans="1:17" ht="12.75">
      <c r="A80" s="700"/>
      <c r="B80" s="551" t="s">
        <v>260</v>
      </c>
      <c r="C80" s="694" t="s">
        <v>276</v>
      </c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6"/>
    </row>
    <row r="81" spans="1:17" ht="12.75">
      <c r="A81" s="700"/>
      <c r="B81" s="551" t="s">
        <v>261</v>
      </c>
      <c r="C81" s="694" t="s">
        <v>277</v>
      </c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6"/>
    </row>
    <row r="82" spans="1:17" ht="12.75">
      <c r="A82" s="700"/>
      <c r="B82" s="551" t="s">
        <v>262</v>
      </c>
      <c r="C82" s="694" t="s">
        <v>280</v>
      </c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6"/>
    </row>
    <row r="83" spans="1:17" ht="11.25">
      <c r="A83" s="700"/>
      <c r="B83" s="551" t="s">
        <v>263</v>
      </c>
      <c r="C83" s="466"/>
      <c r="D83" s="466"/>
      <c r="E83" s="467">
        <f>SUM(E84:E85)</f>
        <v>160563</v>
      </c>
      <c r="F83" s="467">
        <f>SUM(F84:F85)</f>
        <v>43891</v>
      </c>
      <c r="G83" s="467">
        <f>SUM(G84:G85)</f>
        <v>116672</v>
      </c>
      <c r="H83" s="467">
        <f>SUM(I83,M83)</f>
        <v>129450</v>
      </c>
      <c r="I83" s="467">
        <f>J83+K83+L83</f>
        <v>36113</v>
      </c>
      <c r="J83" s="467"/>
      <c r="K83" s="467"/>
      <c r="L83" s="467">
        <v>36113</v>
      </c>
      <c r="M83" s="467">
        <f>N83+O83+P83+Q83</f>
        <v>93337</v>
      </c>
      <c r="N83" s="467"/>
      <c r="O83" s="467"/>
      <c r="P83" s="467"/>
      <c r="Q83" s="467">
        <v>93337</v>
      </c>
    </row>
    <row r="84" spans="1:17" ht="11.25">
      <c r="A84" s="700"/>
      <c r="B84" s="551" t="s">
        <v>264</v>
      </c>
      <c r="C84" s="701">
        <v>23</v>
      </c>
      <c r="D84" s="704" t="s">
        <v>281</v>
      </c>
      <c r="E84" s="467">
        <f>SUM(F84,G84)</f>
        <v>31113</v>
      </c>
      <c r="F84" s="467">
        <v>7778</v>
      </c>
      <c r="G84" s="467">
        <v>23335</v>
      </c>
      <c r="H84" s="697"/>
      <c r="I84" s="697"/>
      <c r="J84" s="697"/>
      <c r="K84" s="697"/>
      <c r="L84" s="697"/>
      <c r="M84" s="697"/>
      <c r="N84" s="697"/>
      <c r="O84" s="697"/>
      <c r="P84" s="697"/>
      <c r="Q84" s="697"/>
    </row>
    <row r="85" spans="1:17" ht="11.25">
      <c r="A85" s="700"/>
      <c r="B85" s="551" t="s">
        <v>244</v>
      </c>
      <c r="C85" s="702"/>
      <c r="D85" s="705"/>
      <c r="E85" s="467">
        <f>SUM(F85,G85)</f>
        <v>129450</v>
      </c>
      <c r="F85" s="467">
        <f>31113+5000</f>
        <v>36113</v>
      </c>
      <c r="G85" s="467">
        <v>93337</v>
      </c>
      <c r="H85" s="698"/>
      <c r="I85" s="698"/>
      <c r="J85" s="698"/>
      <c r="K85" s="698"/>
      <c r="L85" s="698"/>
      <c r="M85" s="698"/>
      <c r="N85" s="698"/>
      <c r="O85" s="698"/>
      <c r="P85" s="698"/>
      <c r="Q85" s="698"/>
    </row>
    <row r="86" spans="1:17" ht="11.25">
      <c r="A86" s="700"/>
      <c r="B86" s="551" t="s">
        <v>265</v>
      </c>
      <c r="C86" s="702"/>
      <c r="D86" s="705"/>
      <c r="E86" s="467">
        <f>SUM(F86,G86)</f>
        <v>0</v>
      </c>
      <c r="F86" s="467"/>
      <c r="G86" s="467"/>
      <c r="H86" s="698"/>
      <c r="I86" s="698"/>
      <c r="J86" s="698"/>
      <c r="K86" s="698"/>
      <c r="L86" s="698"/>
      <c r="M86" s="698"/>
      <c r="N86" s="698"/>
      <c r="O86" s="698"/>
      <c r="P86" s="698"/>
      <c r="Q86" s="698"/>
    </row>
    <row r="87" spans="1:17" ht="11.25">
      <c r="A87" s="700"/>
      <c r="B87" s="551" t="s">
        <v>266</v>
      </c>
      <c r="C87" s="703"/>
      <c r="D87" s="706"/>
      <c r="E87" s="467">
        <f>SUM(F87,G87)</f>
        <v>0</v>
      </c>
      <c r="F87" s="467"/>
      <c r="G87" s="467"/>
      <c r="H87" s="699"/>
      <c r="I87" s="699"/>
      <c r="J87" s="699"/>
      <c r="K87" s="699"/>
      <c r="L87" s="699"/>
      <c r="M87" s="699"/>
      <c r="N87" s="699"/>
      <c r="O87" s="699"/>
      <c r="P87" s="699"/>
      <c r="Q87" s="699"/>
    </row>
    <row r="88" spans="1:17" ht="11.25">
      <c r="A88" s="707" t="s">
        <v>272</v>
      </c>
      <c r="B88" s="707"/>
      <c r="C88" s="708" t="s">
        <v>257</v>
      </c>
      <c r="D88" s="709"/>
      <c r="E88" s="546">
        <f>SUM(E69,E14)</f>
        <v>8876802</v>
      </c>
      <c r="F88" s="546">
        <f aca="true" t="shared" si="2" ref="F88:Q88">SUM(F69,F14)</f>
        <v>2404895</v>
      </c>
      <c r="G88" s="546">
        <f t="shared" si="2"/>
        <v>6471907</v>
      </c>
      <c r="H88" s="546">
        <f t="shared" si="2"/>
        <v>5700559</v>
      </c>
      <c r="I88" s="546">
        <f t="shared" si="2"/>
        <v>1588742</v>
      </c>
      <c r="J88" s="546">
        <f t="shared" si="2"/>
        <v>1029626</v>
      </c>
      <c r="K88" s="546">
        <f t="shared" si="2"/>
        <v>0</v>
      </c>
      <c r="L88" s="546">
        <f t="shared" si="2"/>
        <v>559116</v>
      </c>
      <c r="M88" s="546">
        <f t="shared" si="2"/>
        <v>4111817</v>
      </c>
      <c r="N88" s="546">
        <f t="shared" si="2"/>
        <v>0</v>
      </c>
      <c r="O88" s="546">
        <f t="shared" si="2"/>
        <v>0</v>
      </c>
      <c r="P88" s="546">
        <f t="shared" si="2"/>
        <v>0</v>
      </c>
      <c r="Q88" s="546">
        <f t="shared" si="2"/>
        <v>844819</v>
      </c>
    </row>
    <row r="90" spans="1:10" ht="11.25">
      <c r="A90" s="710" t="s">
        <v>273</v>
      </c>
      <c r="B90" s="710"/>
      <c r="C90" s="710"/>
      <c r="D90" s="710"/>
      <c r="E90" s="710"/>
      <c r="F90" s="710"/>
      <c r="G90" s="710"/>
      <c r="H90" s="710"/>
      <c r="I90" s="710"/>
      <c r="J90" s="710"/>
    </row>
    <row r="91" ht="11.25">
      <c r="A91" s="463" t="s">
        <v>274</v>
      </c>
    </row>
  </sheetData>
  <mergeCells count="161"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I20:I23"/>
    <mergeCell ref="J20:J23"/>
    <mergeCell ref="K20:K23"/>
    <mergeCell ref="L20:L23"/>
    <mergeCell ref="P20:P23"/>
    <mergeCell ref="C14:D14"/>
    <mergeCell ref="A15:A23"/>
    <mergeCell ref="C20:C23"/>
    <mergeCell ref="D20:D23"/>
    <mergeCell ref="C15:Q15"/>
    <mergeCell ref="C16:Q16"/>
    <mergeCell ref="C17:Q17"/>
    <mergeCell ref="C18:Q18"/>
    <mergeCell ref="H20:H23"/>
    <mergeCell ref="N29:N32"/>
    <mergeCell ref="M20:M23"/>
    <mergeCell ref="N20:N23"/>
    <mergeCell ref="O20:O23"/>
    <mergeCell ref="A24:A32"/>
    <mergeCell ref="C29:C32"/>
    <mergeCell ref="D29:D32"/>
    <mergeCell ref="H29:H32"/>
    <mergeCell ref="H47:H50"/>
    <mergeCell ref="O29:O32"/>
    <mergeCell ref="P29:P32"/>
    <mergeCell ref="Q20:Q23"/>
    <mergeCell ref="Q29:Q32"/>
    <mergeCell ref="C24:Q24"/>
    <mergeCell ref="C25:Q25"/>
    <mergeCell ref="C26:Q26"/>
    <mergeCell ref="C27:Q27"/>
    <mergeCell ref="I29:I32"/>
    <mergeCell ref="C69:D69"/>
    <mergeCell ref="C75:C78"/>
    <mergeCell ref="D75:D78"/>
    <mergeCell ref="A42:A50"/>
    <mergeCell ref="C47:C50"/>
    <mergeCell ref="D47:D50"/>
    <mergeCell ref="A70:A72"/>
    <mergeCell ref="A73:A78"/>
    <mergeCell ref="C60:Q60"/>
    <mergeCell ref="C61:Q61"/>
    <mergeCell ref="P75:P78"/>
    <mergeCell ref="Q75:Q78"/>
    <mergeCell ref="P38:P41"/>
    <mergeCell ref="Q38:Q41"/>
    <mergeCell ref="P47:P50"/>
    <mergeCell ref="Q47:Q50"/>
    <mergeCell ref="C51:Q51"/>
    <mergeCell ref="C52:Q52"/>
    <mergeCell ref="C53:Q53"/>
    <mergeCell ref="C54:Q54"/>
    <mergeCell ref="I75:I78"/>
    <mergeCell ref="J75:J78"/>
    <mergeCell ref="M29:M32"/>
    <mergeCell ref="O75:O78"/>
    <mergeCell ref="N47:N50"/>
    <mergeCell ref="O47:O50"/>
    <mergeCell ref="K38:K41"/>
    <mergeCell ref="J29:J32"/>
    <mergeCell ref="K29:K32"/>
    <mergeCell ref="L29:L32"/>
    <mergeCell ref="C70:Q70"/>
    <mergeCell ref="C71:Q71"/>
    <mergeCell ref="C72:Q72"/>
    <mergeCell ref="C73:Q73"/>
    <mergeCell ref="N84:N87"/>
    <mergeCell ref="A88:B88"/>
    <mergeCell ref="C88:D88"/>
    <mergeCell ref="A90:J90"/>
    <mergeCell ref="A79:A87"/>
    <mergeCell ref="C80:Q80"/>
    <mergeCell ref="C81:Q81"/>
    <mergeCell ref="J84:J87"/>
    <mergeCell ref="K84:K87"/>
    <mergeCell ref="L84:L87"/>
    <mergeCell ref="M84:M87"/>
    <mergeCell ref="C84:C87"/>
    <mergeCell ref="D84:D87"/>
    <mergeCell ref="H84:H87"/>
    <mergeCell ref="I84:I87"/>
    <mergeCell ref="A33:A41"/>
    <mergeCell ref="C38:C41"/>
    <mergeCell ref="D38:D41"/>
    <mergeCell ref="H38:H41"/>
    <mergeCell ref="C33:Q33"/>
    <mergeCell ref="C34:Q34"/>
    <mergeCell ref="C35:Q35"/>
    <mergeCell ref="C36:Q36"/>
    <mergeCell ref="O84:O87"/>
    <mergeCell ref="C79:Q79"/>
    <mergeCell ref="K75:K78"/>
    <mergeCell ref="L75:L78"/>
    <mergeCell ref="M75:M78"/>
    <mergeCell ref="N75:N78"/>
    <mergeCell ref="H75:H78"/>
    <mergeCell ref="P84:P87"/>
    <mergeCell ref="Q84:Q87"/>
    <mergeCell ref="C82:Q82"/>
    <mergeCell ref="C45:Q45"/>
    <mergeCell ref="M38:M41"/>
    <mergeCell ref="N38:N41"/>
    <mergeCell ref="O38:O41"/>
    <mergeCell ref="I38:I41"/>
    <mergeCell ref="J38:J41"/>
    <mergeCell ref="L38:L41"/>
    <mergeCell ref="C42:Q42"/>
    <mergeCell ref="C43:Q43"/>
    <mergeCell ref="C44:Q44"/>
    <mergeCell ref="I47:I50"/>
    <mergeCell ref="J47:J50"/>
    <mergeCell ref="K47:K50"/>
    <mergeCell ref="L47:L50"/>
    <mergeCell ref="I56:I59"/>
    <mergeCell ref="J56:J59"/>
    <mergeCell ref="K56:K59"/>
    <mergeCell ref="L56:L59"/>
    <mergeCell ref="A51:A59"/>
    <mergeCell ref="C56:C59"/>
    <mergeCell ref="D56:D59"/>
    <mergeCell ref="H56:H59"/>
    <mergeCell ref="N56:N59"/>
    <mergeCell ref="O56:O59"/>
    <mergeCell ref="P56:P59"/>
    <mergeCell ref="M47:M50"/>
    <mergeCell ref="Q56:Q59"/>
    <mergeCell ref="A60:A68"/>
    <mergeCell ref="C65:C68"/>
    <mergeCell ref="D65:D68"/>
    <mergeCell ref="H65:H68"/>
    <mergeCell ref="I65:I68"/>
    <mergeCell ref="J65:J68"/>
    <mergeCell ref="K65:K68"/>
    <mergeCell ref="P65:P68"/>
    <mergeCell ref="M56:M59"/>
    <mergeCell ref="C62:Q62"/>
    <mergeCell ref="C63:Q63"/>
    <mergeCell ref="Q65:Q68"/>
    <mergeCell ref="L65:L68"/>
    <mergeCell ref="M65:M68"/>
    <mergeCell ref="N65:N68"/>
    <mergeCell ref="O65:O68"/>
  </mergeCells>
  <printOptions/>
  <pageMargins left="0.17" right="0.25" top="1.14" bottom="0.36" header="0.5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G1">
      <selection activeCell="O16" sqref="O16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256" customFormat="1" ht="15.75">
      <c r="B1" s="257"/>
      <c r="C1" s="258"/>
      <c r="D1" s="259"/>
      <c r="E1" s="282"/>
      <c r="F1" s="282"/>
      <c r="G1" s="178" t="s">
        <v>93</v>
      </c>
      <c r="I1" s="259"/>
      <c r="J1" s="282"/>
      <c r="K1" s="282"/>
      <c r="L1" s="282"/>
      <c r="M1" s="178" t="s">
        <v>93</v>
      </c>
    </row>
    <row r="2" spans="2:13" s="256" customFormat="1" ht="15">
      <c r="B2" s="260"/>
      <c r="C2" s="261"/>
      <c r="D2" s="262"/>
      <c r="E2" s="283"/>
      <c r="F2" s="283"/>
      <c r="G2" s="176" t="s">
        <v>764</v>
      </c>
      <c r="I2" s="262"/>
      <c r="J2" s="216"/>
      <c r="K2" s="216"/>
      <c r="L2" s="216"/>
      <c r="M2" s="176" t="s">
        <v>764</v>
      </c>
    </row>
    <row r="3" spans="2:13" s="256" customFormat="1" ht="15">
      <c r="B3" s="260"/>
      <c r="C3" s="263"/>
      <c r="D3" s="262"/>
      <c r="E3" s="283"/>
      <c r="F3" s="283"/>
      <c r="G3" s="176" t="s">
        <v>46</v>
      </c>
      <c r="I3" s="262"/>
      <c r="J3" s="216"/>
      <c r="K3" s="216"/>
      <c r="L3" s="216"/>
      <c r="M3" s="176" t="s">
        <v>46</v>
      </c>
    </row>
    <row r="4" s="264" customFormat="1" ht="12.75">
      <c r="D4" s="263"/>
    </row>
    <row r="5" ht="12.75">
      <c r="D5" s="265"/>
    </row>
    <row r="6" ht="12.75">
      <c r="D6" s="265"/>
    </row>
    <row r="8" spans="2:6" ht="18">
      <c r="B8" s="3"/>
      <c r="C8" s="3"/>
      <c r="D8" s="3"/>
      <c r="E8" s="3"/>
      <c r="F8" s="3"/>
    </row>
    <row r="9" spans="1:3" ht="18">
      <c r="A9" s="46"/>
      <c r="B9" s="46"/>
      <c r="C9" s="46"/>
    </row>
    <row r="10" spans="4:12" s="1" customFormat="1" ht="15.75">
      <c r="D10" s="246"/>
      <c r="E10" s="246"/>
      <c r="F10" s="255"/>
      <c r="G10" s="1" t="s">
        <v>484</v>
      </c>
      <c r="L10" s="1" t="s">
        <v>484</v>
      </c>
    </row>
    <row r="11" spans="1:13" s="266" customFormat="1" ht="35.25" customHeight="1">
      <c r="A11" s="724" t="s">
        <v>488</v>
      </c>
      <c r="B11" s="724" t="s">
        <v>84</v>
      </c>
      <c r="C11" s="724" t="s">
        <v>230</v>
      </c>
      <c r="D11" s="680" t="s">
        <v>85</v>
      </c>
      <c r="E11" s="722"/>
      <c r="F11" s="722"/>
      <c r="G11" s="723"/>
      <c r="H11" s="680" t="s">
        <v>85</v>
      </c>
      <c r="I11" s="722"/>
      <c r="J11" s="722"/>
      <c r="K11" s="722"/>
      <c r="L11" s="722"/>
      <c r="M11" s="723"/>
    </row>
    <row r="12" spans="1:13" s="266" customFormat="1" ht="35.25" customHeight="1">
      <c r="A12" s="724"/>
      <c r="B12" s="724"/>
      <c r="C12" s="724"/>
      <c r="D12" s="88">
        <v>2006</v>
      </c>
      <c r="E12" s="88">
        <v>2007</v>
      </c>
      <c r="F12" s="267">
        <v>2008</v>
      </c>
      <c r="G12" s="88">
        <v>2009</v>
      </c>
      <c r="H12" s="88">
        <v>2010</v>
      </c>
      <c r="I12" s="88">
        <v>2011</v>
      </c>
      <c r="J12" s="88">
        <v>2012</v>
      </c>
      <c r="K12" s="88">
        <v>2013</v>
      </c>
      <c r="L12" s="88">
        <v>2014</v>
      </c>
      <c r="M12" s="88">
        <v>2015</v>
      </c>
    </row>
    <row r="13" spans="1:13" s="266" customFormat="1" ht="11.25" customHeight="1">
      <c r="A13" s="63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268">
        <v>7</v>
      </c>
      <c r="H13" s="63">
        <v>3</v>
      </c>
      <c r="I13" s="63">
        <v>4</v>
      </c>
      <c r="J13" s="63">
        <v>5</v>
      </c>
      <c r="K13" s="63">
        <v>6</v>
      </c>
      <c r="L13" s="63">
        <v>7</v>
      </c>
      <c r="M13" s="63">
        <v>8</v>
      </c>
    </row>
    <row r="14" spans="1:13" s="172" customFormat="1" ht="28.5" customHeight="1">
      <c r="A14" s="269" t="s">
        <v>428</v>
      </c>
      <c r="B14" s="123" t="s">
        <v>434</v>
      </c>
      <c r="C14" s="270">
        <f>SUM('zał8a-syt finans'!C45)</f>
        <v>5000000</v>
      </c>
      <c r="D14" s="270">
        <f>SUM('zał8a-syt finans'!D45)</f>
        <v>3000000</v>
      </c>
      <c r="E14" s="270">
        <f>SUM('zał8a-syt finans'!E45)</f>
        <v>2000000</v>
      </c>
      <c r="F14" s="270">
        <f>SUM('zał8a-syt finans'!F45)</f>
        <v>0</v>
      </c>
      <c r="G14" s="270">
        <f>SUM('zał8a-syt finans'!G45)</f>
        <v>0</v>
      </c>
      <c r="H14" s="270">
        <f>SUM('zał8a-syt finans'!H45)</f>
        <v>0</v>
      </c>
      <c r="I14" s="270">
        <f>SUM('zał8a-syt finans'!I45)</f>
        <v>0</v>
      </c>
      <c r="J14" s="270">
        <f>SUM('zał8a-syt finans'!J45)</f>
        <v>0</v>
      </c>
      <c r="K14" s="270">
        <f>SUM('zał8a-syt finans'!K45)</f>
        <v>0</v>
      </c>
      <c r="L14" s="270">
        <f>SUM('zał8a-syt finans'!L45)</f>
        <v>0</v>
      </c>
      <c r="M14" s="270">
        <f>SUM('zał8a-syt finans'!M45)</f>
        <v>0</v>
      </c>
    </row>
    <row r="15" spans="1:13" s="172" customFormat="1" ht="24.75" customHeight="1">
      <c r="A15" s="269" t="s">
        <v>429</v>
      </c>
      <c r="B15" s="123" t="s">
        <v>436</v>
      </c>
      <c r="C15" s="270">
        <f>SUM('zał8a-syt finans'!C44)</f>
        <v>8233971</v>
      </c>
      <c r="D15" s="270">
        <f>SUM('zał8a-syt finans'!D44)</f>
        <v>19328474</v>
      </c>
      <c r="E15" s="270">
        <f>SUM('zał8a-syt finans'!E44)</f>
        <v>20819465</v>
      </c>
      <c r="F15" s="270">
        <f>SUM('zał8a-syt finans'!F44)</f>
        <v>21059521</v>
      </c>
      <c r="G15" s="270">
        <f>SUM('zał8a-syt finans'!G44)</f>
        <v>18688678</v>
      </c>
      <c r="H15" s="270">
        <f>SUM('zał8a-syt finans'!H44)</f>
        <v>15994772</v>
      </c>
      <c r="I15" s="270">
        <f>SUM('zał8a-syt finans'!I44)</f>
        <v>12965458</v>
      </c>
      <c r="J15" s="270">
        <f>SUM('zał8a-syt finans'!J44)</f>
        <v>9588205</v>
      </c>
      <c r="K15" s="270">
        <f>SUM('zał8a-syt finans'!K44)</f>
        <v>5850292</v>
      </c>
      <c r="L15" s="270">
        <f>SUM('zał8a-syt finans'!L44)</f>
        <v>1850292</v>
      </c>
      <c r="M15" s="270">
        <f>SUM('zał8a-syt finans'!M44)</f>
        <v>0</v>
      </c>
    </row>
    <row r="16" spans="1:13" s="172" customFormat="1" ht="24.75" customHeight="1">
      <c r="A16" s="269" t="s">
        <v>430</v>
      </c>
      <c r="B16" s="123" t="s">
        <v>437</v>
      </c>
      <c r="C16" s="62" t="s">
        <v>503</v>
      </c>
      <c r="D16" s="62" t="s">
        <v>503</v>
      </c>
      <c r="E16" s="62" t="s">
        <v>503</v>
      </c>
      <c r="F16" s="62" t="s">
        <v>503</v>
      </c>
      <c r="G16" s="271" t="s">
        <v>503</v>
      </c>
      <c r="H16" s="62" t="s">
        <v>503</v>
      </c>
      <c r="I16" s="62" t="s">
        <v>503</v>
      </c>
      <c r="J16" s="62" t="s">
        <v>503</v>
      </c>
      <c r="K16" s="62" t="s">
        <v>503</v>
      </c>
      <c r="L16" s="62" t="s">
        <v>503</v>
      </c>
      <c r="M16" s="62" t="s">
        <v>503</v>
      </c>
    </row>
    <row r="17" spans="1:13" s="172" customFormat="1" ht="24.75" customHeight="1">
      <c r="A17" s="272" t="s">
        <v>419</v>
      </c>
      <c r="B17" s="273" t="s">
        <v>438</v>
      </c>
      <c r="C17" s="62" t="s">
        <v>503</v>
      </c>
      <c r="D17" s="62" t="s">
        <v>503</v>
      </c>
      <c r="E17" s="62" t="s">
        <v>503</v>
      </c>
      <c r="F17" s="62" t="s">
        <v>503</v>
      </c>
      <c r="G17" s="271" t="s">
        <v>503</v>
      </c>
      <c r="H17" s="62" t="s">
        <v>503</v>
      </c>
      <c r="I17" s="62" t="s">
        <v>503</v>
      </c>
      <c r="J17" s="62" t="s">
        <v>503</v>
      </c>
      <c r="K17" s="62" t="s">
        <v>503</v>
      </c>
      <c r="L17" s="62" t="s">
        <v>503</v>
      </c>
      <c r="M17" s="62" t="s">
        <v>503</v>
      </c>
    </row>
    <row r="18" spans="1:13" s="172" customFormat="1" ht="42.75" customHeight="1">
      <c r="A18" s="272" t="s">
        <v>435</v>
      </c>
      <c r="B18" s="123" t="s">
        <v>86</v>
      </c>
      <c r="C18" s="62" t="s">
        <v>503</v>
      </c>
      <c r="D18" s="62" t="s">
        <v>503</v>
      </c>
      <c r="E18" s="62" t="s">
        <v>503</v>
      </c>
      <c r="F18" s="62" t="s">
        <v>503</v>
      </c>
      <c r="G18" s="271" t="s">
        <v>503</v>
      </c>
      <c r="H18" s="62" t="s">
        <v>503</v>
      </c>
      <c r="I18" s="62" t="s">
        <v>503</v>
      </c>
      <c r="J18" s="62" t="s">
        <v>503</v>
      </c>
      <c r="K18" s="62" t="s">
        <v>503</v>
      </c>
      <c r="L18" s="274" t="s">
        <v>503</v>
      </c>
      <c r="M18" s="274" t="s">
        <v>503</v>
      </c>
    </row>
    <row r="19" spans="1:13" s="172" customFormat="1" ht="24.75" customHeight="1">
      <c r="A19" s="275"/>
      <c r="B19" s="123" t="s">
        <v>87</v>
      </c>
      <c r="C19" s="62" t="s">
        <v>503</v>
      </c>
      <c r="D19" s="62" t="s">
        <v>503</v>
      </c>
      <c r="E19" s="62" t="s">
        <v>503</v>
      </c>
      <c r="F19" s="62" t="s">
        <v>503</v>
      </c>
      <c r="G19" s="62" t="s">
        <v>503</v>
      </c>
      <c r="H19" s="62" t="s">
        <v>503</v>
      </c>
      <c r="I19" s="62" t="s">
        <v>503</v>
      </c>
      <c r="J19" s="62" t="s">
        <v>503</v>
      </c>
      <c r="K19" s="62" t="s">
        <v>503</v>
      </c>
      <c r="L19" s="62" t="s">
        <v>503</v>
      </c>
      <c r="M19" s="62" t="s">
        <v>503</v>
      </c>
    </row>
    <row r="20" spans="1:13" s="172" customFormat="1" ht="24.75" customHeight="1">
      <c r="A20" s="275"/>
      <c r="B20" s="123" t="s">
        <v>88</v>
      </c>
      <c r="C20" s="62" t="s">
        <v>503</v>
      </c>
      <c r="D20" s="62" t="s">
        <v>503</v>
      </c>
      <c r="E20" s="62" t="s">
        <v>503</v>
      </c>
      <c r="F20" s="62" t="s">
        <v>503</v>
      </c>
      <c r="G20" s="62" t="s">
        <v>503</v>
      </c>
      <c r="H20" s="62" t="s">
        <v>503</v>
      </c>
      <c r="I20" s="62" t="s">
        <v>503</v>
      </c>
      <c r="J20" s="62" t="s">
        <v>503</v>
      </c>
      <c r="K20" s="62" t="s">
        <v>503</v>
      </c>
      <c r="L20" s="62" t="s">
        <v>503</v>
      </c>
      <c r="M20" s="62" t="s">
        <v>503</v>
      </c>
    </row>
    <row r="21" spans="1:13" s="172" customFormat="1" ht="24.75" customHeight="1">
      <c r="A21" s="275"/>
      <c r="B21" s="123" t="s">
        <v>89</v>
      </c>
      <c r="C21" s="62" t="s">
        <v>503</v>
      </c>
      <c r="D21" s="62" t="s">
        <v>503</v>
      </c>
      <c r="E21" s="62" t="s">
        <v>503</v>
      </c>
      <c r="F21" s="62" t="s">
        <v>503</v>
      </c>
      <c r="G21" s="62" t="s">
        <v>503</v>
      </c>
      <c r="H21" s="62" t="s">
        <v>503</v>
      </c>
      <c r="I21" s="62" t="s">
        <v>503</v>
      </c>
      <c r="J21" s="62" t="s">
        <v>503</v>
      </c>
      <c r="K21" s="62" t="s">
        <v>503</v>
      </c>
      <c r="L21" s="274" t="s">
        <v>503</v>
      </c>
      <c r="M21" s="274" t="s">
        <v>503</v>
      </c>
    </row>
    <row r="22" spans="1:13" s="172" customFormat="1" ht="24.75" customHeight="1">
      <c r="A22" s="276"/>
      <c r="B22" s="123" t="s">
        <v>90</v>
      </c>
      <c r="C22" s="62" t="s">
        <v>503</v>
      </c>
      <c r="D22" s="62" t="s">
        <v>503</v>
      </c>
      <c r="E22" s="62" t="s">
        <v>503</v>
      </c>
      <c r="F22" s="62" t="s">
        <v>503</v>
      </c>
      <c r="G22" s="271" t="s">
        <v>503</v>
      </c>
      <c r="H22" s="62" t="s">
        <v>503</v>
      </c>
      <c r="I22" s="62" t="s">
        <v>503</v>
      </c>
      <c r="J22" s="62" t="s">
        <v>503</v>
      </c>
      <c r="K22" s="62" t="s">
        <v>503</v>
      </c>
      <c r="L22" s="62" t="s">
        <v>503</v>
      </c>
      <c r="M22" s="62" t="s">
        <v>503</v>
      </c>
    </row>
    <row r="23" spans="1:13" s="279" customFormat="1" ht="30" customHeight="1">
      <c r="A23" s="276" t="s">
        <v>439</v>
      </c>
      <c r="B23" s="277" t="s">
        <v>91</v>
      </c>
      <c r="C23" s="278">
        <f>SUM(C14,C15)</f>
        <v>13233971</v>
      </c>
      <c r="D23" s="278">
        <f>SUM(D14,D15,D18)</f>
        <v>22328474</v>
      </c>
      <c r="E23" s="278">
        <f aca="true" t="shared" si="0" ref="E23:M23">SUM(E14,E15,E18)</f>
        <v>22819465</v>
      </c>
      <c r="F23" s="278">
        <f t="shared" si="0"/>
        <v>21059521</v>
      </c>
      <c r="G23" s="278">
        <f t="shared" si="0"/>
        <v>18688678</v>
      </c>
      <c r="H23" s="278">
        <f t="shared" si="0"/>
        <v>15994772</v>
      </c>
      <c r="I23" s="278">
        <f t="shared" si="0"/>
        <v>12965458</v>
      </c>
      <c r="J23" s="278">
        <f t="shared" si="0"/>
        <v>9588205</v>
      </c>
      <c r="K23" s="278">
        <f t="shared" si="0"/>
        <v>5850292</v>
      </c>
      <c r="L23" s="278">
        <f t="shared" si="0"/>
        <v>1850292</v>
      </c>
      <c r="M23" s="278">
        <f t="shared" si="0"/>
        <v>0</v>
      </c>
    </row>
    <row r="24" spans="1:13" s="279" customFormat="1" ht="27" customHeight="1">
      <c r="A24" s="276" t="s">
        <v>447</v>
      </c>
      <c r="B24" s="123" t="s">
        <v>448</v>
      </c>
      <c r="C24" s="280">
        <f>SUM('zał8a-syt finans'!C10)</f>
        <v>55503088</v>
      </c>
      <c r="D24" s="280">
        <f>SUM('zał8a-syt finans'!D10)</f>
        <v>54157438</v>
      </c>
      <c r="E24" s="280">
        <f>SUM('zał8a-syt finans'!E10)</f>
        <v>53261029</v>
      </c>
      <c r="F24" s="280">
        <f>SUM('zał8a-syt finans'!F10)</f>
        <v>54059944</v>
      </c>
      <c r="G24" s="280">
        <f>SUM('zał8a-syt finans'!G10)</f>
        <v>54870843</v>
      </c>
      <c r="H24" s="280">
        <f>SUM('zał8a-syt finans'!H10)</f>
        <v>55693906</v>
      </c>
      <c r="I24" s="280">
        <f>SUM('zał8a-syt finans'!I10)</f>
        <v>56529314</v>
      </c>
      <c r="J24" s="280">
        <f>SUM('zał8a-syt finans'!J10)</f>
        <v>57377253</v>
      </c>
      <c r="K24" s="280">
        <f>SUM('zał8a-syt finans'!K10)</f>
        <v>58237913</v>
      </c>
      <c r="L24" s="280">
        <f>SUM('zał8a-syt finans'!L10)</f>
        <v>59111482</v>
      </c>
      <c r="M24" s="280">
        <f>SUM('zał8a-syt finans'!M10)</f>
        <v>60498154</v>
      </c>
    </row>
    <row r="25" spans="1:13" s="279" customFormat="1" ht="30" customHeight="1">
      <c r="A25" s="276" t="s">
        <v>456</v>
      </c>
      <c r="B25" s="123" t="s">
        <v>92</v>
      </c>
      <c r="C25" s="65">
        <f aca="true" t="shared" si="1" ref="C25:M25">C23/C24*100</f>
        <v>23.843666139801087</v>
      </c>
      <c r="D25" s="65">
        <f t="shared" si="1"/>
        <v>41.228822530342</v>
      </c>
      <c r="E25" s="65">
        <f t="shared" si="1"/>
        <v>42.84458154197509</v>
      </c>
      <c r="F25" s="65">
        <f t="shared" si="1"/>
        <v>38.955869062683455</v>
      </c>
      <c r="G25" s="281">
        <f t="shared" si="1"/>
        <v>34.05939653597084</v>
      </c>
      <c r="H25" s="65">
        <f t="shared" si="1"/>
        <v>28.719070269555164</v>
      </c>
      <c r="I25" s="65">
        <f t="shared" si="1"/>
        <v>22.93581344362325</v>
      </c>
      <c r="J25" s="65">
        <f t="shared" si="1"/>
        <v>16.710812209849085</v>
      </c>
      <c r="K25" s="65">
        <f t="shared" si="1"/>
        <v>10.045504206168927</v>
      </c>
      <c r="L25" s="65">
        <f t="shared" si="1"/>
        <v>3.1301735930085464</v>
      </c>
      <c r="M25" s="65">
        <f t="shared" si="1"/>
        <v>0</v>
      </c>
    </row>
    <row r="26" s="224" customFormat="1" ht="12.75"/>
    <row r="27" s="224" customFormat="1" ht="12.75"/>
    <row r="28" s="224" customFormat="1" ht="12.75"/>
    <row r="29" s="224" customFormat="1" ht="12.75"/>
    <row r="30" s="224" customFormat="1" ht="12.75"/>
    <row r="31" s="224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Powiatowy Urząd Pracy w Iławie</cp:lastModifiedBy>
  <cp:lastPrinted>2006-01-06T10:23:02Z</cp:lastPrinted>
  <dcterms:created xsi:type="dcterms:W3CDTF">1998-12-09T13:02:10Z</dcterms:created>
  <dcterms:modified xsi:type="dcterms:W3CDTF">2006-01-06T10:23:07Z</dcterms:modified>
  <cp:category/>
  <cp:version/>
  <cp:contentType/>
  <cp:contentStatus/>
</cp:coreProperties>
</file>