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0"/>
  </bookViews>
  <sheets>
    <sheet name="zał2-sfin" sheetId="1" r:id="rId1"/>
    <sheet name="zał3-prog wielol" sheetId="2" r:id="rId2"/>
    <sheet name="zał4-zadania inwestycyjne" sheetId="3" r:id="rId3"/>
    <sheet name="zał5-projekty unia" sheetId="4" r:id="rId4"/>
    <sheet name="zał6-zlecone" sheetId="5" r:id="rId5"/>
    <sheet name="zał7-poroz" sheetId="6" r:id="rId6"/>
    <sheet name="zał8-gosp" sheetId="7" r:id="rId7"/>
    <sheet name="zał9-dot dla niep" sheetId="8" r:id="rId8"/>
    <sheet name="zał10-progn" sheetId="9" r:id="rId9"/>
    <sheet name="zał11-syt finans" sheetId="10" r:id="rId10"/>
  </sheets>
  <definedNames>
    <definedName name="_xlnm.Print_Titles" localSheetId="8">'zał10-progn'!$A:$B</definedName>
    <definedName name="_xlnm.Print_Titles" localSheetId="9">'zał11-syt finans'!$A:$B</definedName>
    <definedName name="_xlnm.Print_Titles" localSheetId="2">'zał4-zadania inwestycyjne'!$10:$13</definedName>
    <definedName name="_xlnm.Print_Titles" localSheetId="3">'zał5-projekty unia'!$7:$13</definedName>
    <definedName name="_xlnm.Print_Titles" localSheetId="4">'zał6-zlecone'!$9:$10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<sst xmlns="http://schemas.openxmlformats.org/spreadsheetml/2006/main" count="1206" uniqueCount="550">
  <si>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</si>
  <si>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</si>
  <si>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</si>
  <si>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</si>
  <si>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</si>
  <si>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 xml:space="preserve">                     Załącznik Nr 7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</si>
  <si>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</si>
  <si>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</si>
  <si>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</si>
  <si>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</si>
  <si>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</si>
  <si>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</si>
  <si>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</si>
  <si>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</si>
  <si>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</si>
  <si>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</si>
  <si>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</si>
  <si>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</si>
  <si>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</si>
  <si>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</si>
  <si>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</si>
  <si>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</si>
  <si>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</si>
  <si>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</si>
  <si>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</si>
  <si>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</si>
  <si>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</si>
  <si>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</si>
  <si>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</si>
  <si>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</si>
  <si>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</si>
  <si>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</si>
  <si>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</si>
  <si>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ZS im. Bohaterów Września 1939 Roku</t>
  </si>
  <si>
    <t>zakup klimatyzatora kasetonowego z montażem</t>
  </si>
  <si>
    <t>Powiatowe Centrum Kształcenia Praktycznego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</si>
  <si>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</si>
  <si>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</si>
  <si>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</si>
  <si>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</si>
  <si>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</si>
  <si>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</si>
  <si>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</si>
  <si>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</si>
  <si>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</si>
  <si>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</si>
  <si>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</si>
  <si>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</si>
  <si>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</si>
  <si>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</si>
  <si>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</si>
  <si>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</si>
  <si>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</si>
  <si>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</si>
  <si>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</si>
  <si>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Wyszczególnienie</t>
  </si>
  <si>
    <t>4.</t>
  </si>
  <si>
    <t>Dział</t>
  </si>
  <si>
    <t>IX.</t>
  </si>
  <si>
    <t>XI.1</t>
  </si>
  <si>
    <t>XI.2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</si>
  <si>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</si>
  <si>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</si>
  <si>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</si>
  <si>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</si>
  <si>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</si>
  <si>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</si>
  <si>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</si>
  <si>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</si>
  <si>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</si>
  <si>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</si>
  <si>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</si>
  <si>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</si>
  <si>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</si>
  <si>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</si>
  <si>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</si>
  <si>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</si>
  <si>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</si>
  <si>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</si>
  <si>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</si>
  <si>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</si>
  <si>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</si>
  <si>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</si>
  <si>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</si>
  <si>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</si>
  <si>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</si>
  <si>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</si>
  <si>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</si>
  <si>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</si>
  <si>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</si>
  <si>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</si>
  <si>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</si>
  <si>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</si>
  <si>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</si>
  <si>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B</t>
  </si>
  <si>
    <t xml:space="preserve">  B Dotacje i środki z budżetu państwa</t>
  </si>
  <si>
    <t xml:space="preserve">                     Załącznik Nr 8</t>
  </si>
  <si>
    <t>6050</t>
  </si>
  <si>
    <t>Wydatki inwestycyjne jednostek budżetowych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</si>
  <si>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</si>
  <si>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</si>
  <si>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</si>
  <si>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</si>
  <si>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</si>
  <si>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</si>
  <si>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</si>
  <si>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</si>
  <si>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</si>
  <si>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</si>
  <si>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</si>
  <si>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</si>
  <si>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</si>
  <si>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</si>
  <si>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</si>
  <si>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</si>
  <si>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</si>
  <si>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</si>
  <si>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</si>
  <si>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</si>
  <si>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</si>
  <si>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</si>
  <si>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</si>
  <si>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</si>
  <si>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</si>
  <si>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</si>
  <si>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</si>
  <si>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RAZEM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</si>
  <si>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</si>
  <si>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</si>
  <si>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</si>
  <si>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</si>
  <si>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</si>
  <si>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</si>
  <si>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</si>
  <si>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</si>
  <si>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</si>
  <si>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zakup rejestratora cyfrowego wchodzącego wskład monitoringu wizyjnego</t>
  </si>
  <si>
    <t>wymiana bram garażowych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</si>
  <si>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</si>
  <si>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</si>
  <si>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</si>
  <si>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</si>
  <si>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Powiat Kwidzyński -      18.446,-zł</t>
  </si>
  <si>
    <t>Powiat Sztumski - 4.786,- zł</t>
  </si>
  <si>
    <t>Powiat Ostródzki -         47.292,-zł</t>
  </si>
  <si>
    <t>Powiat Gołdap-         24.380,-zł</t>
  </si>
  <si>
    <t>zakup zestawu komputerowego</t>
  </si>
  <si>
    <t>zakup dwóch podnośników do codziennej pielegnacji</t>
  </si>
  <si>
    <t>zakup centrali telefonicznej</t>
  </si>
  <si>
    <t xml:space="preserve">obieraczka do ziemniaków </t>
  </si>
  <si>
    <t>zakup ciągnika 80 KM</t>
  </si>
  <si>
    <t>zakup kosiarki bijakowej</t>
  </si>
  <si>
    <t>zakup patelni elektrycznej</t>
  </si>
  <si>
    <t>zakup urządzenia wielofunkcyjnego do pielęgnacji zieleni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</si>
  <si>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</si>
  <si>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</si>
  <si>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</si>
  <si>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</si>
  <si>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</si>
  <si>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</si>
  <si>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</si>
  <si>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</si>
  <si>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</si>
  <si>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</si>
  <si>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</si>
  <si>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</si>
  <si>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</si>
  <si>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</si>
  <si>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Powiat Kwidzyński -      7.181,-zł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</si>
  <si>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</si>
  <si>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</si>
  <si>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</si>
  <si>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</si>
  <si>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</si>
  <si>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</si>
  <si>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</si>
  <si>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</si>
  <si>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</si>
  <si>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</si>
  <si>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</si>
  <si>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</si>
  <si>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</si>
  <si>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</si>
  <si>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</si>
  <si>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</si>
  <si>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</si>
  <si>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</si>
  <si>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</si>
  <si>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</si>
  <si>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</si>
  <si>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</si>
  <si>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</si>
  <si>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</si>
  <si>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</si>
  <si>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 xml:space="preserve">                                      z dnia 30 grudnia 2008 roku</t>
  </si>
  <si>
    <t xml:space="preserve">                                      do Uchwały Rady Powiatu Nr XXIII/         /08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</si>
  <si>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</si>
  <si>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</si>
  <si>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</si>
  <si>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</si>
  <si>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</si>
  <si>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</si>
  <si>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</si>
  <si>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POMOC SPOŁECZNA</t>
  </si>
  <si>
    <t xml:space="preserve">                     Załącznik Nr 4</t>
  </si>
  <si>
    <t>WYDATKI OGÓŁEM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</si>
  <si>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</si>
  <si>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</si>
  <si>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</si>
  <si>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</si>
  <si>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</si>
  <si>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</si>
  <si>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Lata realizacji</t>
  </si>
  <si>
    <t>Nakłady poniesione do 31.XII.2004</t>
  </si>
  <si>
    <t>Pozostałe nakłady do poniesienia (8+12+13+14)</t>
  </si>
  <si>
    <t>Budowa pełnowymiarowej Sali gimnstycznej przy Zespole Szkół im. Konstytucji 3 Maja w Iławie (2008-2010)</t>
  </si>
  <si>
    <t>Zespół Szkół im. Konstytucji 3 Maja w Iławie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</si>
  <si>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</si>
  <si>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</si>
  <si>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</si>
  <si>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</si>
  <si>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</si>
  <si>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</si>
  <si>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</si>
  <si>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</si>
  <si>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</si>
  <si>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</si>
  <si>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</si>
  <si>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</si>
  <si>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Ogółem kwota dotacji</t>
  </si>
  <si>
    <t xml:space="preserve">Starostwo Powiatowe </t>
  </si>
  <si>
    <t>4240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</si>
  <si>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</si>
  <si>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</si>
  <si>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>RACHUNEK DOCHODÓW WŁASNYCH w tym:</t>
  </si>
  <si>
    <t xml:space="preserve"> </t>
  </si>
  <si>
    <t xml:space="preserve">                     Załącznik Nr 3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</si>
  <si>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</si>
  <si>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</si>
  <si>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</si>
  <si>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</si>
  <si>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</si>
  <si>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</si>
  <si>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</si>
  <si>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</si>
  <si>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</si>
  <si>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</si>
  <si>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</si>
  <si>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</si>
  <si>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</si>
  <si>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</si>
  <si>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</si>
  <si>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</si>
  <si>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</si>
  <si>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</si>
  <si>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</si>
  <si>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</si>
  <si>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</si>
  <si>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</si>
  <si>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</si>
  <si>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</si>
  <si>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</si>
  <si>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</si>
  <si>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</si>
  <si>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</si>
  <si>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</si>
  <si>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</si>
  <si>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</si>
  <si>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</si>
  <si>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</si>
  <si>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</si>
  <si>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</si>
  <si>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</si>
  <si>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</si>
  <si>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</si>
  <si>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</si>
  <si>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</si>
  <si>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</si>
  <si>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</si>
  <si>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</si>
  <si>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</si>
  <si>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</si>
  <si>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</si>
  <si>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</si>
  <si>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</si>
  <si>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środki pochodzące z innych źródeł</t>
  </si>
  <si>
    <t>RAZEM:</t>
  </si>
  <si>
    <t xml:space="preserve">                     Załącznik Nr 10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</si>
  <si>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</si>
  <si>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</si>
  <si>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</si>
  <si>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</si>
  <si>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</si>
  <si>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</si>
  <si>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</si>
  <si>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</si>
  <si>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>oraz dochodów i wydatków rachunków dochodów własnych na rok 2008</t>
  </si>
  <si>
    <t xml:space="preserve">1. Warsztaty Terapii Zajęciowej w Iławie </t>
  </si>
  <si>
    <t xml:space="preserve">Dotacje podmiotowe w 2008 roku 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</si>
  <si>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</si>
  <si>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</si>
  <si>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</si>
  <si>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Gmina Kisielice: 9.293,-zł</t>
  </si>
  <si>
    <t>Partycypacja w kosztach utrzymania placówki opiekuńczo-wychowawczej w Lubawie</t>
  </si>
  <si>
    <t>Powiat Szczytno -           7.006,-zł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</si>
  <si>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</si>
  <si>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</si>
  <si>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</si>
  <si>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</si>
  <si>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</si>
  <si>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</si>
  <si>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</si>
  <si>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</si>
  <si>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</si>
  <si>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</si>
  <si>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</si>
  <si>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</si>
  <si>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</si>
  <si>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</si>
  <si>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</si>
  <si>
    <t>Melioracje wodne</t>
  </si>
  <si>
    <t>Gmina Wiejska Lubawa: 11.026,-zł</t>
  </si>
  <si>
    <t>Rozliczenie z budżetem z tytułu wpłat nadwyzek środków za 2007r.</t>
  </si>
  <si>
    <t xml:space="preserve">                                      do Uchwały Rady Powiatu Nr  XXIII/         /08</t>
  </si>
  <si>
    <t xml:space="preserve">zakup wózka bemarowego do podgrzewania </t>
  </si>
  <si>
    <t>w wydatkach razem (kol.9) nie jest ujęta kwota w wysokości 42.610,-zł (par. 4988 - 28.975,-zł, par. 4989 - 13.635,-zł), tj. zwroty dotyczące rozliczeń z Komisją Europejską dotyczących wypłaty stypendiów dla uczniów szkół ponadgimnazjalnych w latach 2004/2005 pn."Pomoc stypendialna powiatów warmińsko-mazurskich uczniom szkół ponadgimnazjalnych z obszarów wiejskich"</t>
  </si>
  <si>
    <t xml:space="preserve">                                      do Uchwały Zarządu Powiatu Nr XXIII/         /08</t>
  </si>
  <si>
    <t>Partycypacja Gminy Iława w modernizację budynku Starostwa Powiatowego</t>
  </si>
  <si>
    <t>Powiat Janów Lubelski-  25.726,-zł</t>
  </si>
  <si>
    <t>Powiat Ostródzki -         4.283,-zł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</si>
  <si>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</si>
  <si>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</si>
  <si>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</si>
  <si>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</si>
  <si>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</si>
  <si>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</si>
  <si>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</si>
  <si>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Kredyty zaciągnięte w danym roku budżetowym: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</si>
  <si>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</si>
  <si>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</si>
  <si>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</si>
  <si>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</si>
  <si>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</si>
  <si>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</si>
  <si>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</si>
  <si>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</si>
  <si>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</si>
  <si>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</si>
  <si>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</si>
  <si>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</si>
  <si>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</si>
  <si>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</si>
  <si>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Wydatki inwestycyjne jednoroczne w 2008 r.</t>
  </si>
  <si>
    <t>2.5</t>
  </si>
  <si>
    <t>Działanie 9.2 Podniesienie atrakcyjności i jakości szkolnictwa zawodowego</t>
  </si>
  <si>
    <t>"Młodzież z przyszłością. Wyrównywanie szans edukacyjnych uczniów w Powiecie Iławskim."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</si>
  <si>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</si>
  <si>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</si>
  <si>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</si>
  <si>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</si>
  <si>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</si>
  <si>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</si>
  <si>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</si>
  <si>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</si>
  <si>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</si>
  <si>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</si>
  <si>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</si>
  <si>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</si>
  <si>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</si>
  <si>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</si>
  <si>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</si>
  <si>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</si>
  <si>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</si>
  <si>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</si>
  <si>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</si>
  <si>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</si>
  <si>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</si>
  <si>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</si>
  <si>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</si>
  <si>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</si>
  <si>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</si>
  <si>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</si>
  <si>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</si>
  <si>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</si>
  <si>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</si>
  <si>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</si>
  <si>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</si>
  <si>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</si>
  <si>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</si>
  <si>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</si>
  <si>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</si>
  <si>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</si>
  <si>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</si>
  <si>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</si>
  <si>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</si>
  <si>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</si>
  <si>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</si>
  <si>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</si>
  <si>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</si>
  <si>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</si>
  <si>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</si>
  <si>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</si>
  <si>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</si>
  <si>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</si>
  <si>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</si>
  <si>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</si>
  <si>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</si>
  <si>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</si>
  <si>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</si>
  <si>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</si>
  <si>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</si>
  <si>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</si>
  <si>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</si>
  <si>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</si>
  <si>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</si>
  <si>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</si>
  <si>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</si>
  <si>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</si>
  <si>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</si>
  <si>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</si>
  <si>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</si>
  <si>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</si>
  <si>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</si>
  <si>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</si>
  <si>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</si>
  <si>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</si>
  <si>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</si>
  <si>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</si>
  <si>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</si>
  <si>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</si>
  <si>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</si>
  <si>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</si>
  <si>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</si>
  <si>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</si>
  <si>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</si>
  <si>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</si>
  <si>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</si>
  <si>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</si>
  <si>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</si>
  <si>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</si>
  <si>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Wykonanie 2007 r.</t>
  </si>
  <si>
    <t>Wykonanie 2007</t>
  </si>
  <si>
    <t>Dotacja na pokrycie kosztów utrzymania dzieci w rodzinie zastępczej w innych powiatach</t>
  </si>
  <si>
    <t>Powiat Malborski - 7.906,-zł</t>
  </si>
  <si>
    <t>Komenda Powiatowa Państwowej Straży Pożarnej w Iławie</t>
  </si>
  <si>
    <t>2. Warsztaty Terapii Zajęciowej w Suszu</t>
  </si>
  <si>
    <t>3. Warsztaty Terapii Zajęciowej w Lubawie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</si>
  <si>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</si>
  <si>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</si>
  <si>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</si>
  <si>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</si>
  <si>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</si>
  <si>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</si>
  <si>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</si>
  <si>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</si>
  <si>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</si>
  <si>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</si>
  <si>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</si>
  <si>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</si>
  <si>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</si>
  <si>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zakup samochodu</t>
  </si>
  <si>
    <t>Porozumienie z Samorządem Województwa Warmińsko-Mazurskiego - znakowanie turystyczne regionu Warmii i Mazur</t>
  </si>
  <si>
    <t>dofinansowanie zakupu pięcioosobowego samochodu bus do przewozu osób niepełnosprawnych</t>
  </si>
  <si>
    <t>Regionalny Program Operacyjny Warmia i Mazury na lata 2007-2013</t>
  </si>
  <si>
    <t>Poprawa dostępności komunikacyjnej miasta - przebudowa drogi pow. ul. Rzepnikowskiego w Lubawie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</si>
  <si>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</si>
  <si>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</si>
  <si>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</si>
  <si>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Powiat Grodzki Elbląg -  38.755,-zł</t>
  </si>
  <si>
    <t>wykonanie elewacji budynku wraz z dociepleniem oraz remontem wewnętrznej instalacji centralnego ogrzewania i wymiennikowego węzła cieplnego</t>
  </si>
  <si>
    <t>modernizacja centrali alarmowej - wymiana okablowania i czujników ruchu na ciągach komunikacyjnych</t>
  </si>
  <si>
    <t>zakup agregatu oddymiajacego oraz dwóch kompletów aparatów ochrony dróg oddechowych</t>
  </si>
  <si>
    <t>zakup lekkiej łodzi ratowniczej z zaporami przeciwolejowymi</t>
  </si>
  <si>
    <t>zakup zmywarki do stołówki</t>
  </si>
  <si>
    <t>Zespół Szkół Ogólnokształcacych w Iławie</t>
  </si>
  <si>
    <t>**     środki własne j.s.t., współfinansowanie z budżetu państwa oraz inne</t>
  </si>
  <si>
    <t>*      wydatki obejmują wydatki bieżące i majątkowe (dotyczące inwestycji rocznych i ujętych w wieloletnim programie inwestycyjnym)</t>
  </si>
  <si>
    <t>Zakup pomocy naukowych, dydaktycznych i książek</t>
  </si>
  <si>
    <t>Dział 851 Rozdział 85111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</si>
  <si>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</si>
  <si>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</si>
  <si>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</si>
  <si>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Miasto Toruń -      3.734,-zł</t>
  </si>
  <si>
    <t>Powiat Działdowski - 0,-zł</t>
  </si>
  <si>
    <t>Powiat Nidzica - 40.512,-zł</t>
  </si>
  <si>
    <t>Projekt i budowa chodnika dł. 650 m w miejscowości Grabowo do szkoły - droga powiatowa Nr 1214N Kałduny-Rożental-Wałdyki</t>
  </si>
  <si>
    <t>Powiatowy Zarząd Dróg</t>
  </si>
  <si>
    <t>zakup sprzętu komputerowego</t>
  </si>
  <si>
    <t>Projekt przebudowy drogi powiatowej Nr 1231N Gierłoż-Zielkowo-Byszwałd dł. 750 m</t>
  </si>
  <si>
    <t>Generalna przebudowa mostu w ciągu drogi powiatowej Nr 1307N Jerzwałd Dobrzyki - Zalewo w Dobrzykach nad kanałem Dobrzyckim</t>
  </si>
  <si>
    <t>"Uwierz w siebie. Zajęcia pozalekcyjne i pozaszkolne dla uczniów z Zespołu Placówek Szkolno-Wychowawczych w Iławie"</t>
  </si>
  <si>
    <t>***</t>
  </si>
  <si>
    <t>Wydatki razem (9+13)***</t>
  </si>
  <si>
    <t>Partycypacja w kosztach montażu drzwi wewnętrznych z automatycznym czytnikiem kart, ogrodzenia i bramy przemysłowej dwuskrzydłowej wraz ze szlabanem sterowanym automatycznie przy wjeździe na parking z tyłu budynku Starostwa Powiatowego w Iławie</t>
  </si>
  <si>
    <t xml:space="preserve">Prowadzenie Biblioteki Powiatowej przez Miejską Bibliotekę Publiczną w Iławie </t>
  </si>
  <si>
    <t>dotacje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</si>
  <si>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</si>
  <si>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</si>
  <si>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</si>
  <si>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</si>
  <si>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</si>
  <si>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</si>
  <si>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</si>
  <si>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</si>
  <si>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"Wspólny cel - Wspólny rozwój"</t>
  </si>
  <si>
    <t>2.4</t>
  </si>
  <si>
    <t>Priorytet VII Promocja integracji społecznej</t>
  </si>
  <si>
    <t>Działanie 7.1 Rozwój i upowszechnianie aktywnej integracji</t>
  </si>
  <si>
    <t xml:space="preserve">                     Załącznik Nr 11</t>
  </si>
  <si>
    <t>"Aktywizacja zawodowa i społeczna osób zagrożonych wykluczeniem społecznym z powiatu iławskiego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</si>
  <si>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</si>
  <si>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</si>
  <si>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</si>
  <si>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</si>
  <si>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</si>
  <si>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</si>
  <si>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</si>
  <si>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</si>
  <si>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</si>
  <si>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</si>
  <si>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</si>
  <si>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</si>
  <si>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</si>
  <si>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</si>
  <si>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</si>
  <si>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1.7</t>
  </si>
  <si>
    <t>2.1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</si>
  <si>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</si>
  <si>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</si>
  <si>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</si>
  <si>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</si>
  <si>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</si>
  <si>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</si>
  <si>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</si>
  <si>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</si>
  <si>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</si>
  <si>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</si>
  <si>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</si>
  <si>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</si>
  <si>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</si>
  <si>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</si>
  <si>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</si>
  <si>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</si>
  <si>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1. Liceum Ogólnokształcące dla dorosłych w Iławie ul. M. Skłodowskiej 31 </t>
  </si>
  <si>
    <t xml:space="preserve">Warmińsko Mazurski Zakład Doskonalenia Zawodowego w Olsztynie Centrum Kształcenia Zawodowego w Iławie, ul.Grunwaldzka 13,                                                              </t>
  </si>
  <si>
    <t xml:space="preserve">Towarzystwo Wiedzy Powszechnej O/Rejonowy w Olsztynie ul. Wyzwolenia 30 Szkoła Policealna w Suszu </t>
  </si>
  <si>
    <t xml:space="preserve">Towarzystwo Wiedzy Powszechnej O/Rejonowy w Olsztynie ul. Wyzwolenia 30 Szkoła Policealna w Lubawie </t>
  </si>
  <si>
    <t xml:space="preserve">Centrum Edukacji Dorosłych "ALFA" Gdańsk Centrum Edukacji Dorosłych "ALFA" Studium Policealne ul. Andersa 7, 14-200 Iława </t>
  </si>
  <si>
    <t xml:space="preserve">Centrum Edukacji i Marketingu w Lubawie ul. Kupnera 33 - Szkoła Policealna </t>
  </si>
  <si>
    <t xml:space="preserve">Centrum Edukacji i Marketingu w Lubawie ul. Kupnera 33 - Technikum Uzupełniające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</si>
</sst>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4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18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18" applyFo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3" fillId="0" borderId="20" xfId="0" applyNumberFormat="1" applyFont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0" xfId="18" applyFont="1">
      <alignment/>
      <protection/>
    </xf>
    <xf numFmtId="0" fontId="32" fillId="0" borderId="0" xfId="18" applyFont="1">
      <alignment/>
      <protection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7" fillId="2" borderId="1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26" fillId="0" borderId="3" xfId="18" applyFont="1" applyFill="1" applyBorder="1">
      <alignment/>
      <protection/>
    </xf>
    <xf numFmtId="0" fontId="26" fillId="0" borderId="10" xfId="18" applyFont="1" applyFill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5" fillId="0" borderId="19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3" fontId="34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10" xfId="18" applyFont="1" applyBorder="1" applyAlignment="1">
      <alignment horizontal="center" vertical="center" wrapText="1"/>
      <protection/>
    </xf>
    <xf numFmtId="0" fontId="38" fillId="0" borderId="10" xfId="18" applyFont="1" applyBorder="1" applyAlignment="1">
      <alignment horizontal="center" vertical="center" wrapText="1"/>
      <protection/>
    </xf>
    <xf numFmtId="0" fontId="39" fillId="0" borderId="10" xfId="18" applyFont="1" applyFill="1" applyBorder="1" applyAlignment="1">
      <alignment horizontal="center" vertical="center"/>
      <protection/>
    </xf>
    <xf numFmtId="0" fontId="39" fillId="0" borderId="10" xfId="18" applyFont="1" applyBorder="1" applyAlignment="1">
      <alignment horizontal="center" vertical="center"/>
      <protection/>
    </xf>
    <xf numFmtId="0" fontId="24" fillId="0" borderId="10" xfId="18" applyFont="1" applyFill="1" applyBorder="1" applyAlignment="1">
      <alignment horizontal="center"/>
      <protection/>
    </xf>
    <xf numFmtId="0" fontId="24" fillId="0" borderId="10" xfId="18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10" fontId="4" fillId="0" borderId="10" xfId="20" applyNumberFormat="1" applyFont="1" applyFill="1" applyBorder="1" applyAlignment="1">
      <alignment horizontal="center"/>
    </xf>
    <xf numFmtId="10" fontId="40" fillId="0" borderId="10" xfId="2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20" applyNumberFormat="1" applyFont="1" applyFill="1" applyBorder="1" applyAlignment="1">
      <alignment vertical="center"/>
    </xf>
    <xf numFmtId="10" fontId="40" fillId="0" borderId="10" xfId="2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4" fillId="0" borderId="10" xfId="18" applyNumberFormat="1" applyFont="1" applyBorder="1">
      <alignment/>
      <protection/>
    </xf>
    <xf numFmtId="0" fontId="26" fillId="0" borderId="0" xfId="18" applyFont="1">
      <alignment/>
      <protection/>
    </xf>
    <xf numFmtId="3" fontId="26" fillId="0" borderId="0" xfId="18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40" fillId="0" borderId="19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vertical="center"/>
    </xf>
    <xf numFmtId="4" fontId="40" fillId="0" borderId="3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26" fillId="0" borderId="10" xfId="18" applyNumberFormat="1" applyFont="1" applyFill="1" applyBorder="1">
      <alignment/>
      <protection/>
    </xf>
    <xf numFmtId="3" fontId="26" fillId="0" borderId="19" xfId="18" applyNumberFormat="1" applyFont="1" applyFill="1" applyBorder="1">
      <alignment/>
      <protection/>
    </xf>
    <xf numFmtId="3" fontId="26" fillId="0" borderId="8" xfId="18" applyNumberFormat="1" applyFont="1" applyFill="1" applyBorder="1">
      <alignment/>
      <protection/>
    </xf>
    <xf numFmtId="3" fontId="26" fillId="0" borderId="20" xfId="18" applyNumberFormat="1" applyFont="1" applyFill="1" applyBorder="1" applyAlignment="1">
      <alignment horizontal="center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21" xfId="18" applyNumberFormat="1" applyFont="1" applyFill="1" applyBorder="1" applyAlignment="1">
      <alignment horizontal="center"/>
      <protection/>
    </xf>
    <xf numFmtId="3" fontId="26" fillId="0" borderId="18" xfId="18" applyNumberFormat="1" applyFont="1" applyFill="1" applyBorder="1" applyAlignment="1">
      <alignment horizontal="center"/>
      <protection/>
    </xf>
    <xf numFmtId="3" fontId="26" fillId="0" borderId="16" xfId="18" applyNumberFormat="1" applyFont="1" applyFill="1" applyBorder="1" applyAlignment="1">
      <alignment horizontal="center"/>
      <protection/>
    </xf>
    <xf numFmtId="3" fontId="26" fillId="0" borderId="22" xfId="18" applyNumberFormat="1" applyFont="1" applyFill="1" applyBorder="1" applyAlignment="1">
      <alignment horizontal="center"/>
      <protection/>
    </xf>
    <xf numFmtId="3" fontId="26" fillId="0" borderId="23" xfId="18" applyNumberFormat="1" applyFont="1" applyFill="1" applyBorder="1" applyAlignment="1">
      <alignment horizontal="center"/>
      <protection/>
    </xf>
    <xf numFmtId="3" fontId="26" fillId="0" borderId="17" xfId="18" applyNumberFormat="1" applyFont="1" applyFill="1" applyBorder="1" applyAlignment="1">
      <alignment horizontal="center"/>
      <protection/>
    </xf>
    <xf numFmtId="3" fontId="26" fillId="0" borderId="24" xfId="18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5" fillId="2" borderId="3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6" fillId="0" borderId="10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27" fillId="0" borderId="10" xfId="18" applyFont="1" applyFill="1" applyBorder="1" applyAlignment="1">
      <alignment horizontal="center" vertical="center"/>
      <protection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26" fillId="0" borderId="10" xfId="18" applyFont="1" applyFill="1" applyBorder="1" applyAlignment="1">
      <alignment horizontal="center"/>
      <protection/>
    </xf>
    <xf numFmtId="0" fontId="27" fillId="0" borderId="10" xfId="18" applyFont="1" applyFill="1" applyBorder="1">
      <alignment/>
      <protection/>
    </xf>
    <xf numFmtId="3" fontId="27" fillId="0" borderId="17" xfId="18" applyNumberFormat="1" applyFont="1" applyFill="1" applyBorder="1" applyAlignment="1">
      <alignment horizontal="center"/>
      <protection/>
    </xf>
    <xf numFmtId="3" fontId="27" fillId="0" borderId="10" xfId="18" applyNumberFormat="1" applyFont="1" applyFill="1" applyBorder="1">
      <alignment/>
      <protection/>
    </xf>
    <xf numFmtId="3" fontId="24" fillId="0" borderId="10" xfId="18" applyNumberFormat="1" applyFont="1" applyFill="1" applyBorder="1">
      <alignment/>
      <protection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3" fontId="28" fillId="3" borderId="19" xfId="0" applyNumberFormat="1" applyFont="1" applyFill="1" applyBorder="1" applyAlignment="1">
      <alignment vertical="center" wrapText="1"/>
    </xf>
    <xf numFmtId="3" fontId="28" fillId="3" borderId="16" xfId="0" applyNumberFormat="1" applyFont="1" applyFill="1" applyBorder="1" applyAlignment="1">
      <alignment vertical="center" wrapText="1"/>
    </xf>
    <xf numFmtId="0" fontId="28" fillId="3" borderId="17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6" fillId="0" borderId="20" xfId="18" applyFont="1" applyFill="1" applyBorder="1" applyAlignment="1">
      <alignment horizontal="left" vertical="center"/>
      <protection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6" fillId="0" borderId="8" xfId="1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9" xfId="18" applyFont="1" applyFill="1" applyBorder="1" applyAlignment="1">
      <alignment horizontal="center" vertical="center" wrapText="1"/>
      <protection/>
    </xf>
    <xf numFmtId="0" fontId="26" fillId="0" borderId="16" xfId="18" applyFont="1" applyFill="1" applyBorder="1" applyAlignment="1">
      <alignment horizontal="center" vertical="center" wrapText="1"/>
      <protection/>
    </xf>
    <xf numFmtId="0" fontId="26" fillId="0" borderId="17" xfId="18" applyFont="1" applyFill="1" applyBorder="1" applyAlignment="1">
      <alignment horizontal="center" vertical="center" wrapText="1"/>
      <protection/>
    </xf>
    <xf numFmtId="0" fontId="27" fillId="0" borderId="19" xfId="18" applyFont="1" applyFill="1" applyBorder="1" applyAlignment="1">
      <alignment horizontal="center" vertical="center"/>
      <protection/>
    </xf>
    <xf numFmtId="0" fontId="27" fillId="0" borderId="16" xfId="18" applyFont="1" applyFill="1" applyBorder="1" applyAlignment="1">
      <alignment horizontal="center" vertical="center"/>
      <protection/>
    </xf>
    <xf numFmtId="0" fontId="27" fillId="0" borderId="17" xfId="1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7" fillId="0" borderId="19" xfId="18" applyNumberFormat="1" applyFont="1" applyFill="1" applyBorder="1" applyAlignment="1">
      <alignment horizontal="center"/>
      <protection/>
    </xf>
    <xf numFmtId="3" fontId="27" fillId="0" borderId="16" xfId="18" applyNumberFormat="1" applyFont="1" applyFill="1" applyBorder="1" applyAlignment="1">
      <alignment horizontal="center"/>
      <protection/>
    </xf>
    <xf numFmtId="3" fontId="27" fillId="0" borderId="17" xfId="18" applyNumberFormat="1" applyFont="1" applyFill="1" applyBorder="1" applyAlignment="1">
      <alignment horizontal="center"/>
      <protection/>
    </xf>
    <xf numFmtId="0" fontId="24" fillId="0" borderId="0" xfId="18" applyFont="1" applyAlignment="1">
      <alignment horizontal="center"/>
      <protection/>
    </xf>
    <xf numFmtId="0" fontId="26" fillId="0" borderId="10" xfId="18" applyFont="1" applyBorder="1" applyAlignment="1">
      <alignment horizontal="center" vertical="center"/>
      <protection/>
    </xf>
    <xf numFmtId="0" fontId="26" fillId="0" borderId="10" xfId="18" applyFont="1" applyBorder="1" applyAlignment="1">
      <alignment horizontal="center" vertical="center" wrapText="1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16" xfId="18" applyNumberFormat="1" applyFont="1" applyFill="1" applyBorder="1" applyAlignment="1">
      <alignment horizontal="center"/>
      <protection/>
    </xf>
    <xf numFmtId="3" fontId="26" fillId="0" borderId="17" xfId="18" applyNumberFormat="1" applyFont="1" applyFill="1" applyBorder="1" applyAlignment="1">
      <alignment horizontal="center"/>
      <protection/>
    </xf>
    <xf numFmtId="0" fontId="26" fillId="0" borderId="8" xfId="18" applyFont="1" applyBorder="1" applyAlignment="1">
      <alignment horizontal="center"/>
      <protection/>
    </xf>
    <xf numFmtId="0" fontId="26" fillId="0" borderId="3" xfId="18" applyFont="1" applyBorder="1" applyAlignment="1">
      <alignment horizontal="center"/>
      <protection/>
    </xf>
    <xf numFmtId="0" fontId="26" fillId="0" borderId="8" xfId="18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6" fillId="0" borderId="0" xfId="18" applyFont="1" applyAlignment="1">
      <alignment horizontal="left"/>
      <protection/>
    </xf>
    <xf numFmtId="0" fontId="26" fillId="0" borderId="8" xfId="18" applyFont="1" applyFill="1" applyBorder="1" applyAlignment="1">
      <alignment horizontal="center"/>
      <protection/>
    </xf>
    <xf numFmtId="0" fontId="26" fillId="0" borderId="3" xfId="18" applyFont="1" applyFill="1" applyBorder="1" applyAlignment="1">
      <alignment horizontal="center"/>
      <protection/>
    </xf>
    <xf numFmtId="0" fontId="24" fillId="0" borderId="10" xfId="18" applyFont="1" applyFill="1" applyBorder="1" applyAlignment="1">
      <alignment horizontal="center"/>
      <protection/>
    </xf>
    <xf numFmtId="0" fontId="26" fillId="0" borderId="0" xfId="18" applyFont="1" applyAlignment="1">
      <alignment horizontal="left" wrapTex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3" fillId="0" borderId="8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8" xfId="0" applyFont="1" applyFill="1" applyBorder="1" applyAlignment="1">
      <alignment vertical="center" wrapText="1"/>
    </xf>
    <xf numFmtId="0" fontId="43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292" name="Line 29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472" name="Line 47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653" name="Line 653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831" name="Line 831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943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94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033" name="Line 9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94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210" name="Line 18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94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390" name="Line 36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94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160</xdr:row>
      <xdr:rowOff>0</xdr:rowOff>
    </xdr:from>
    <xdr:to>
      <xdr:col>1</xdr:col>
      <xdr:colOff>457200</xdr:colOff>
      <xdr:row>160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571" name="Line 547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160</xdr:row>
      <xdr:rowOff>0</xdr:rowOff>
    </xdr:from>
    <xdr:to>
      <xdr:col>1</xdr:col>
      <xdr:colOff>466725</xdr:colOff>
      <xdr:row>160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781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94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32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749" name="Line 72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4</xdr:col>
      <xdr:colOff>0</xdr:colOff>
      <xdr:row>60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333375</xdr:rowOff>
    </xdr:from>
    <xdr:to>
      <xdr:col>4</xdr:col>
      <xdr:colOff>0</xdr:colOff>
      <xdr:row>72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2067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3134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152400</xdr:rowOff>
    </xdr:from>
    <xdr:to>
      <xdr:col>4</xdr:col>
      <xdr:colOff>0</xdr:colOff>
      <xdr:row>136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94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927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tabSelected="1" workbookViewId="0" topLeftCell="A3">
      <selection activeCell="F19" sqref="F19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22" customFormat="1" ht="19.5" customHeight="1">
      <c r="A1" s="684" t="s">
        <v>317</v>
      </c>
      <c r="B1" s="684"/>
      <c r="C1" s="684"/>
      <c r="D1" s="684"/>
      <c r="E1" s="684"/>
      <c r="F1" s="684"/>
      <c r="H1" s="71"/>
    </row>
    <row r="2" spans="1:6" s="122" customFormat="1" ht="9.75" customHeight="1">
      <c r="A2" s="684"/>
      <c r="B2" s="684"/>
      <c r="C2" s="684"/>
      <c r="D2" s="684"/>
      <c r="E2" s="684"/>
      <c r="F2" s="684"/>
    </row>
    <row r="3" s="122" customFormat="1" ht="13.5" thickBot="1">
      <c r="F3" s="248" t="s">
        <v>119</v>
      </c>
    </row>
    <row r="4" spans="1:6" s="122" customFormat="1" ht="15.75" thickBot="1">
      <c r="A4" s="214" t="s">
        <v>65</v>
      </c>
      <c r="B4" s="214" t="s">
        <v>62</v>
      </c>
      <c r="C4" s="214" t="s">
        <v>79</v>
      </c>
      <c r="D4" s="215" t="s">
        <v>79</v>
      </c>
      <c r="E4" s="682" t="s">
        <v>63</v>
      </c>
      <c r="F4" s="683"/>
    </row>
    <row r="5" spans="1:6" s="122" customFormat="1" ht="30.75" thickBot="1">
      <c r="A5" s="216"/>
      <c r="B5" s="216"/>
      <c r="C5" s="217" t="s">
        <v>80</v>
      </c>
      <c r="D5" s="218" t="s">
        <v>14</v>
      </c>
      <c r="E5" s="212" t="s">
        <v>440</v>
      </c>
      <c r="F5" s="212" t="s">
        <v>292</v>
      </c>
    </row>
    <row r="6" spans="1:6" s="122" customFormat="1" ht="9" customHeight="1" thickBot="1">
      <c r="A6" s="213">
        <v>1</v>
      </c>
      <c r="B6" s="213">
        <v>2</v>
      </c>
      <c r="C6" s="213">
        <v>3</v>
      </c>
      <c r="D6" s="213"/>
      <c r="E6" s="213">
        <v>3</v>
      </c>
      <c r="F6" s="213">
        <v>4</v>
      </c>
    </row>
    <row r="7" spans="1:6" s="122" customFormat="1" ht="19.5" customHeight="1">
      <c r="A7" s="219" t="s">
        <v>66</v>
      </c>
      <c r="B7" s="220" t="s">
        <v>81</v>
      </c>
      <c r="C7" s="123"/>
      <c r="D7" s="123"/>
      <c r="E7" s="202">
        <v>59026343</v>
      </c>
      <c r="F7" s="202">
        <v>64754579</v>
      </c>
    </row>
    <row r="8" spans="1:6" s="122" customFormat="1" ht="19.5" customHeight="1">
      <c r="A8" s="221" t="s">
        <v>70</v>
      </c>
      <c r="B8" s="222" t="s">
        <v>82</v>
      </c>
      <c r="C8" s="124"/>
      <c r="D8" s="124"/>
      <c r="E8" s="203">
        <v>60636770</v>
      </c>
      <c r="F8" s="203">
        <v>67182215</v>
      </c>
    </row>
    <row r="9" spans="1:6" s="122" customFormat="1" ht="19.5" customHeight="1" hidden="1">
      <c r="A9" s="223"/>
      <c r="B9" s="224"/>
      <c r="C9" s="124"/>
      <c r="D9" s="124"/>
      <c r="E9" s="203"/>
      <c r="F9" s="203"/>
    </row>
    <row r="10" spans="1:6" s="122" customFormat="1" ht="19.5" customHeight="1">
      <c r="A10" s="221"/>
      <c r="B10" s="222" t="s">
        <v>109</v>
      </c>
      <c r="C10" s="124"/>
      <c r="D10" s="124"/>
      <c r="E10" s="203">
        <f>E7-E8</f>
        <v>-1610427</v>
      </c>
      <c r="F10" s="203">
        <f>F7-F8</f>
        <v>-2427636</v>
      </c>
    </row>
    <row r="11" spans="1:6" s="122" customFormat="1" ht="0.75" customHeight="1" thickBot="1">
      <c r="A11" s="225"/>
      <c r="B11" s="220"/>
      <c r="C11" s="123"/>
      <c r="D11" s="123"/>
      <c r="E11" s="202"/>
      <c r="F11" s="202"/>
    </row>
    <row r="12" spans="1:6" s="122" customFormat="1" ht="19.5" customHeight="1" thickBot="1">
      <c r="A12" s="226"/>
      <c r="B12" s="227" t="s">
        <v>117</v>
      </c>
      <c r="C12" s="125"/>
      <c r="D12" s="125"/>
      <c r="E12" s="204">
        <f>E13-E23</f>
        <v>1610427</v>
      </c>
      <c r="F12" s="204">
        <f>F13-F23</f>
        <v>2427636</v>
      </c>
    </row>
    <row r="13" spans="1:6" s="122" customFormat="1" ht="19.5" customHeight="1" thickBot="1">
      <c r="A13" s="228" t="s">
        <v>71</v>
      </c>
      <c r="B13" s="229" t="s">
        <v>90</v>
      </c>
      <c r="C13" s="126"/>
      <c r="D13" s="126"/>
      <c r="E13" s="264">
        <f>SUM(E14:E22)</f>
        <v>7552813</v>
      </c>
      <c r="F13" s="205">
        <f>SUM(F14:F22)</f>
        <v>5905236</v>
      </c>
    </row>
    <row r="14" spans="1:6" s="122" customFormat="1" ht="19.5" customHeight="1">
      <c r="A14" s="230" t="s">
        <v>67</v>
      </c>
      <c r="B14" s="231" t="s">
        <v>15</v>
      </c>
      <c r="C14" s="127" t="s">
        <v>105</v>
      </c>
      <c r="D14" s="243" t="s">
        <v>105</v>
      </c>
      <c r="E14" s="265">
        <v>6223600</v>
      </c>
      <c r="F14" s="206">
        <f>-F10+F23-F22</f>
        <v>3490450</v>
      </c>
    </row>
    <row r="15" spans="1:6" s="122" customFormat="1" ht="19.5" customHeight="1">
      <c r="A15" s="232" t="s">
        <v>68</v>
      </c>
      <c r="B15" s="233" t="s">
        <v>110</v>
      </c>
      <c r="C15" s="128" t="s">
        <v>105</v>
      </c>
      <c r="D15" s="244" t="s">
        <v>105</v>
      </c>
      <c r="E15" s="266">
        <v>0</v>
      </c>
      <c r="F15" s="207">
        <v>0</v>
      </c>
    </row>
    <row r="16" spans="1:6" s="122" customFormat="1" ht="45">
      <c r="A16" s="221" t="s">
        <v>69</v>
      </c>
      <c r="B16" s="234" t="s">
        <v>16</v>
      </c>
      <c r="C16" s="129"/>
      <c r="D16" s="245" t="s">
        <v>17</v>
      </c>
      <c r="E16" s="266">
        <v>0</v>
      </c>
      <c r="F16" s="207">
        <v>0</v>
      </c>
    </row>
    <row r="17" spans="1:6" s="122" customFormat="1" ht="19.5" customHeight="1">
      <c r="A17" s="221" t="s">
        <v>56</v>
      </c>
      <c r="B17" s="235" t="s">
        <v>91</v>
      </c>
      <c r="C17" s="129" t="s">
        <v>106</v>
      </c>
      <c r="D17" s="245" t="s">
        <v>18</v>
      </c>
      <c r="E17" s="266">
        <v>0</v>
      </c>
      <c r="F17" s="207">
        <v>0</v>
      </c>
    </row>
    <row r="18" spans="1:6" s="122" customFormat="1" ht="19.5" customHeight="1">
      <c r="A18" s="221" t="s">
        <v>74</v>
      </c>
      <c r="B18" s="235" t="s">
        <v>92</v>
      </c>
      <c r="C18" s="129" t="s">
        <v>107</v>
      </c>
      <c r="D18" s="245" t="s">
        <v>19</v>
      </c>
      <c r="E18" s="266">
        <v>0</v>
      </c>
      <c r="F18" s="207">
        <v>0</v>
      </c>
    </row>
    <row r="19" spans="1:6" s="122" customFormat="1" ht="21.75" customHeight="1">
      <c r="A19" s="221" t="s">
        <v>78</v>
      </c>
      <c r="B19" s="235" t="s">
        <v>83</v>
      </c>
      <c r="C19" s="129" t="s">
        <v>108</v>
      </c>
      <c r="D19" s="245" t="s">
        <v>108</v>
      </c>
      <c r="E19" s="266">
        <v>0</v>
      </c>
      <c r="F19" s="207">
        <v>0</v>
      </c>
    </row>
    <row r="20" spans="1:6" s="122" customFormat="1" ht="19.5" customHeight="1">
      <c r="A20" s="221" t="s">
        <v>86</v>
      </c>
      <c r="B20" s="235" t="s">
        <v>20</v>
      </c>
      <c r="C20" s="129"/>
      <c r="D20" s="245" t="s">
        <v>21</v>
      </c>
      <c r="E20" s="266">
        <v>0</v>
      </c>
      <c r="F20" s="207">
        <v>0</v>
      </c>
    </row>
    <row r="21" spans="1:6" s="122" customFormat="1" ht="19.5" customHeight="1">
      <c r="A21" s="236" t="s">
        <v>89</v>
      </c>
      <c r="B21" s="237" t="s">
        <v>22</v>
      </c>
      <c r="C21" s="127"/>
      <c r="D21" s="244" t="s">
        <v>23</v>
      </c>
      <c r="E21" s="266">
        <v>0</v>
      </c>
      <c r="F21" s="207">
        <v>0</v>
      </c>
    </row>
    <row r="22" spans="1:6" s="122" customFormat="1" ht="19.5" customHeight="1" thickBot="1">
      <c r="A22" s="236" t="s">
        <v>156</v>
      </c>
      <c r="B22" s="237" t="s">
        <v>24</v>
      </c>
      <c r="C22" s="130" t="s">
        <v>106</v>
      </c>
      <c r="D22" s="244" t="s">
        <v>106</v>
      </c>
      <c r="E22" s="208">
        <v>1329213</v>
      </c>
      <c r="F22" s="208">
        <v>2414786</v>
      </c>
    </row>
    <row r="23" spans="1:6" s="122" customFormat="1" ht="19.5" customHeight="1" thickBot="1">
      <c r="A23" s="228" t="s">
        <v>88</v>
      </c>
      <c r="B23" s="238" t="s">
        <v>93</v>
      </c>
      <c r="C23" s="131"/>
      <c r="D23" s="228"/>
      <c r="E23" s="264">
        <f>SUM(E24:E31)</f>
        <v>5942386</v>
      </c>
      <c r="F23" s="205">
        <f>SUM(F24:F31)</f>
        <v>3477600</v>
      </c>
    </row>
    <row r="24" spans="1:6" s="122" customFormat="1" ht="19.5" customHeight="1">
      <c r="A24" s="230" t="s">
        <v>67</v>
      </c>
      <c r="B24" s="239" t="s">
        <v>85</v>
      </c>
      <c r="C24" s="132" t="s">
        <v>100</v>
      </c>
      <c r="D24" s="246" t="s">
        <v>100</v>
      </c>
      <c r="E24" s="209">
        <v>2527600</v>
      </c>
      <c r="F24" s="209">
        <f>1781600-304000</f>
        <v>1477600</v>
      </c>
    </row>
    <row r="25" spans="1:6" s="122" customFormat="1" ht="19.5" customHeight="1">
      <c r="A25" s="221" t="s">
        <v>68</v>
      </c>
      <c r="B25" s="222" t="s">
        <v>104</v>
      </c>
      <c r="C25" s="133"/>
      <c r="D25" s="245" t="s">
        <v>100</v>
      </c>
      <c r="E25" s="210"/>
      <c r="F25" s="210"/>
    </row>
    <row r="26" spans="1:6" s="122" customFormat="1" ht="45">
      <c r="A26" s="221" t="s">
        <v>69</v>
      </c>
      <c r="B26" s="240" t="s">
        <v>25</v>
      </c>
      <c r="C26" s="133"/>
      <c r="D26" s="245" t="s">
        <v>26</v>
      </c>
      <c r="E26" s="210"/>
      <c r="F26" s="210"/>
    </row>
    <row r="27" spans="1:6" s="122" customFormat="1" ht="19.5" customHeight="1">
      <c r="A27" s="221" t="s">
        <v>56</v>
      </c>
      <c r="B27" s="222" t="s">
        <v>27</v>
      </c>
      <c r="C27" s="133" t="s">
        <v>121</v>
      </c>
      <c r="D27" s="245" t="s">
        <v>121</v>
      </c>
      <c r="E27" s="210">
        <v>0</v>
      </c>
      <c r="F27" s="210">
        <v>0</v>
      </c>
    </row>
    <row r="28" spans="1:6" s="122" customFormat="1" ht="19.5" customHeight="1">
      <c r="A28" s="221" t="s">
        <v>74</v>
      </c>
      <c r="B28" s="222" t="s">
        <v>28</v>
      </c>
      <c r="C28" s="133" t="s">
        <v>102</v>
      </c>
      <c r="D28" s="245" t="s">
        <v>102</v>
      </c>
      <c r="E28" s="210">
        <v>2414786</v>
      </c>
      <c r="F28" s="210">
        <v>0</v>
      </c>
    </row>
    <row r="29" spans="1:6" s="122" customFormat="1" ht="17.25" customHeight="1">
      <c r="A29" s="221" t="s">
        <v>78</v>
      </c>
      <c r="B29" s="222" t="s">
        <v>84</v>
      </c>
      <c r="C29" s="133" t="s">
        <v>103</v>
      </c>
      <c r="D29" s="245" t="s">
        <v>103</v>
      </c>
      <c r="E29" s="210">
        <v>1000000</v>
      </c>
      <c r="F29" s="210">
        <v>2000000</v>
      </c>
    </row>
    <row r="30" spans="1:6" s="122" customFormat="1" ht="17.25" customHeight="1">
      <c r="A30" s="221" t="s">
        <v>86</v>
      </c>
      <c r="B30" s="222" t="s">
        <v>51</v>
      </c>
      <c r="C30" s="133"/>
      <c r="D30" s="245" t="s">
        <v>29</v>
      </c>
      <c r="E30" s="210"/>
      <c r="F30" s="210"/>
    </row>
    <row r="31" spans="1:6" s="122" customFormat="1" ht="17.25" customHeight="1" thickBot="1">
      <c r="A31" s="241" t="s">
        <v>89</v>
      </c>
      <c r="B31" s="242" t="s">
        <v>99</v>
      </c>
      <c r="C31" s="133" t="s">
        <v>101</v>
      </c>
      <c r="D31" s="247" t="s">
        <v>101</v>
      </c>
      <c r="E31" s="211">
        <v>0</v>
      </c>
      <c r="F31" s="211">
        <v>0</v>
      </c>
    </row>
    <row r="32" spans="1:6" ht="19.5" customHeight="1">
      <c r="A32" s="4"/>
      <c r="B32" s="5"/>
      <c r="C32" s="5"/>
      <c r="D32" s="5"/>
      <c r="E32" s="32"/>
      <c r="F32" s="32"/>
    </row>
    <row r="33" spans="1:6" ht="30" hidden="1">
      <c r="A33" s="12" t="s">
        <v>111</v>
      </c>
      <c r="B33" s="15" t="s">
        <v>122</v>
      </c>
      <c r="C33" s="13"/>
      <c r="D33" s="13"/>
      <c r="E33" s="35">
        <f>E23</f>
        <v>5942386</v>
      </c>
      <c r="F33" s="38">
        <f>F23</f>
        <v>3477600</v>
      </c>
    </row>
    <row r="34" spans="1:6" ht="30" hidden="1">
      <c r="A34" s="6" t="s">
        <v>112</v>
      </c>
      <c r="B34" s="14" t="s">
        <v>118</v>
      </c>
      <c r="C34" s="9"/>
      <c r="D34" s="9"/>
      <c r="E34" s="36">
        <f>E7-E33</f>
        <v>53083957</v>
      </c>
      <c r="F34" s="39">
        <f>F7-F33</f>
        <v>61276979</v>
      </c>
    </row>
    <row r="35" spans="1:6" ht="30" hidden="1">
      <c r="A35" s="6" t="s">
        <v>113</v>
      </c>
      <c r="B35" s="14" t="s">
        <v>114</v>
      </c>
      <c r="C35" s="9"/>
      <c r="D35" s="9"/>
      <c r="E35" s="36">
        <f>E8-E34</f>
        <v>7552813</v>
      </c>
      <c r="F35" s="39">
        <f>F8-F34</f>
        <v>5905236</v>
      </c>
    </row>
    <row r="36" spans="1:6" ht="45.75" hidden="1" thickBot="1">
      <c r="A36" s="7" t="s">
        <v>115</v>
      </c>
      <c r="B36" s="10" t="s">
        <v>116</v>
      </c>
      <c r="C36" s="11"/>
      <c r="D36" s="11"/>
      <c r="E36" s="37">
        <f>SUM(E13)</f>
        <v>7552813</v>
      </c>
      <c r="F36" s="40">
        <f>SUM(F13)</f>
        <v>5905236</v>
      </c>
    </row>
    <row r="37" spans="1:6" ht="12.75">
      <c r="A37" s="3"/>
      <c r="E37" s="33"/>
      <c r="F37" s="33"/>
    </row>
    <row r="38" spans="1:6" ht="12.75">
      <c r="A38" s="3"/>
      <c r="E38" s="33"/>
      <c r="F38" s="33"/>
    </row>
    <row r="39" spans="5:6" s="8" customFormat="1" ht="15">
      <c r="E39" s="34"/>
      <c r="F39" s="34"/>
    </row>
    <row r="40" spans="1:6" ht="12.75">
      <c r="A40" s="3"/>
      <c r="E40" s="33"/>
      <c r="F40" s="33"/>
    </row>
    <row r="41" spans="1:6" ht="12.75">
      <c r="A41" s="3"/>
      <c r="E41" s="33"/>
      <c r="F41" s="33"/>
    </row>
    <row r="42" spans="1:6" ht="12.75">
      <c r="A42" s="3"/>
      <c r="E42" s="33"/>
      <c r="F42" s="33"/>
    </row>
    <row r="43" spans="1:6" ht="12.75">
      <c r="A43" s="3"/>
      <c r="E43" s="33"/>
      <c r="F43" s="33"/>
    </row>
    <row r="44" spans="1:6" ht="12.75">
      <c r="A44" s="3"/>
      <c r="E44" s="33"/>
      <c r="F44" s="33"/>
    </row>
    <row r="45" spans="1:6" ht="12.75">
      <c r="A45" s="3"/>
      <c r="E45" s="33"/>
      <c r="F45" s="33"/>
    </row>
    <row r="46" spans="1:6" ht="12.75">
      <c r="A46" s="3"/>
      <c r="E46" s="33"/>
      <c r="F46" s="33"/>
    </row>
    <row r="47" spans="1:6" ht="12.75">
      <c r="A47" s="3"/>
      <c r="E47" s="33"/>
      <c r="F47" s="33"/>
    </row>
    <row r="48" spans="5:6" ht="12.75">
      <c r="E48" s="33"/>
      <c r="F48" s="33"/>
    </row>
    <row r="49" spans="5:6" ht="12.75">
      <c r="E49" s="33"/>
      <c r="F49" s="33"/>
    </row>
    <row r="50" spans="5:6" ht="12.75">
      <c r="E50" s="33"/>
      <c r="F50" s="33"/>
    </row>
    <row r="51" spans="5:6" ht="12.75">
      <c r="E51" s="33"/>
      <c r="F51" s="33"/>
    </row>
    <row r="52" spans="5:6" ht="12.75">
      <c r="E52" s="33"/>
      <c r="F52" s="33"/>
    </row>
    <row r="53" spans="5:6" ht="12.75">
      <c r="E53" s="33"/>
      <c r="F53" s="33"/>
    </row>
    <row r="54" spans="5:6" ht="12.75">
      <c r="E54" s="33"/>
      <c r="F54" s="33"/>
    </row>
    <row r="55" spans="5:6" ht="12.75">
      <c r="E55" s="33"/>
      <c r="F55" s="33"/>
    </row>
    <row r="56" spans="5:6" ht="12.75">
      <c r="E56" s="33"/>
      <c r="F56" s="33"/>
    </row>
    <row r="57" spans="5:6" ht="12.75">
      <c r="E57" s="33"/>
      <c r="F57" s="33"/>
    </row>
    <row r="58" spans="5:6" ht="12.75">
      <c r="E58" s="33"/>
      <c r="F58" s="33"/>
    </row>
    <row r="59" spans="5:6" ht="12.75">
      <c r="E59" s="33"/>
      <c r="F59" s="33"/>
    </row>
    <row r="60" spans="5:6" ht="12.75">
      <c r="E60" s="33"/>
      <c r="F60" s="33"/>
    </row>
    <row r="61" spans="5:6" ht="12.75">
      <c r="E61" s="33"/>
      <c r="F61" s="33"/>
    </row>
    <row r="62" spans="5:6" ht="12.75">
      <c r="E62" s="33"/>
      <c r="F62" s="33"/>
    </row>
    <row r="63" spans="5:6" ht="12.75">
      <c r="E63" s="33"/>
      <c r="F63" s="33"/>
    </row>
    <row r="64" spans="5:6" ht="12.75">
      <c r="E64" s="33"/>
      <c r="F64" s="33"/>
    </row>
    <row r="65" spans="5:6" ht="12.75">
      <c r="E65" s="33"/>
      <c r="F65" s="33"/>
    </row>
    <row r="66" spans="5:6" ht="12.75">
      <c r="E66" s="33"/>
      <c r="F66" s="33"/>
    </row>
    <row r="67" spans="5:6" ht="12.75">
      <c r="E67" s="33"/>
      <c r="F67" s="33"/>
    </row>
    <row r="68" spans="5:6" ht="12.75">
      <c r="E68" s="33"/>
      <c r="F68" s="33"/>
    </row>
    <row r="69" spans="5:6" ht="12.75">
      <c r="E69" s="33"/>
      <c r="F69" s="33"/>
    </row>
    <row r="70" spans="5:6" ht="12.75">
      <c r="E70" s="33"/>
      <c r="F70" s="33"/>
    </row>
    <row r="71" spans="5:6" ht="12.75">
      <c r="E71" s="33"/>
      <c r="F71" s="33"/>
    </row>
    <row r="72" spans="5:6" ht="12.75">
      <c r="E72" s="33"/>
      <c r="F72" s="33"/>
    </row>
    <row r="73" spans="5:6" ht="12.75">
      <c r="E73" s="33"/>
      <c r="F73" s="33"/>
    </row>
    <row r="74" spans="5:6" ht="12.75">
      <c r="E74" s="33"/>
      <c r="F74" s="33"/>
    </row>
    <row r="75" spans="5:6" ht="12.75">
      <c r="E75" s="33"/>
      <c r="F75" s="33"/>
    </row>
    <row r="76" spans="5:6" ht="12.75">
      <c r="E76" s="33"/>
      <c r="F76" s="33"/>
    </row>
    <row r="77" spans="5:6" ht="12.75">
      <c r="E77" s="33"/>
      <c r="F77" s="33"/>
    </row>
    <row r="78" spans="5:6" ht="12.75">
      <c r="E78" s="33"/>
      <c r="F78" s="33"/>
    </row>
    <row r="79" spans="5:6" ht="12.75">
      <c r="E79" s="33"/>
      <c r="F79" s="33"/>
    </row>
    <row r="80" spans="5:6" ht="12.75">
      <c r="E80" s="33"/>
      <c r="F80" s="33"/>
    </row>
    <row r="81" spans="5:6" ht="12.75">
      <c r="E81" s="33"/>
      <c r="F81" s="33"/>
    </row>
    <row r="82" spans="5:6" ht="12.75">
      <c r="E82" s="33"/>
      <c r="F82" s="33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 XXIII/        /08
z dnia 30 grudnia 2008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8"/>
  <dimension ref="A1:Y76"/>
  <sheetViews>
    <sheetView workbookViewId="0" topLeftCell="A7">
      <pane ySplit="975" topLeftCell="BM1" activePane="bottomLeft" state="split"/>
      <selection pane="topLeft" activeCell="L55" sqref="L55"/>
      <selection pane="bottomLeft" activeCell="E16" sqref="E16"/>
    </sheetView>
  </sheetViews>
  <sheetFormatPr defaultColWidth="9.00390625" defaultRowHeight="12.75"/>
  <cols>
    <col min="1" max="1" width="4.375" style="42" customWidth="1"/>
    <col min="2" max="2" width="40.875" style="42" customWidth="1"/>
    <col min="3" max="3" width="13.25390625" style="42" customWidth="1"/>
    <col min="4" max="6" width="13.125" style="104" customWidth="1"/>
    <col min="7" max="7" width="15.125" style="104" customWidth="1"/>
    <col min="8" max="8" width="13.00390625" style="104" customWidth="1"/>
    <col min="9" max="9" width="14.625" style="104" customWidth="1"/>
    <col min="10" max="12" width="13.125" style="104" customWidth="1"/>
    <col min="13" max="13" width="14.625" style="104" customWidth="1"/>
    <col min="14" max="14" width="13.00390625" style="104" customWidth="1"/>
    <col min="15" max="16384" width="9.125" style="42" customWidth="1"/>
  </cols>
  <sheetData>
    <row r="1" spans="4:25" ht="14.25">
      <c r="D1" s="70"/>
      <c r="E1" s="70"/>
      <c r="F1" s="43" t="s">
        <v>508</v>
      </c>
      <c r="H1" s="70"/>
      <c r="I1" s="70"/>
      <c r="J1" s="43" t="s">
        <v>508</v>
      </c>
      <c r="K1" s="105"/>
      <c r="L1" s="105"/>
      <c r="M1" s="105"/>
      <c r="N1" s="43" t="s">
        <v>508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4:25" ht="14.25">
      <c r="D2" s="71"/>
      <c r="E2" s="71"/>
      <c r="F2" s="43" t="s">
        <v>195</v>
      </c>
      <c r="H2" s="71"/>
      <c r="I2" s="71"/>
      <c r="J2" s="43" t="s">
        <v>195</v>
      </c>
      <c r="K2" s="106"/>
      <c r="L2" s="106"/>
      <c r="M2" s="106"/>
      <c r="N2" s="43" t="s">
        <v>195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4:25" ht="14.25">
      <c r="D3" s="71"/>
      <c r="E3" s="71"/>
      <c r="F3" s="43" t="s">
        <v>194</v>
      </c>
      <c r="H3" s="71"/>
      <c r="I3" s="71"/>
      <c r="J3" s="43" t="s">
        <v>194</v>
      </c>
      <c r="K3" s="106"/>
      <c r="L3" s="106"/>
      <c r="M3" s="106"/>
      <c r="N3" s="43" t="s">
        <v>194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4:12" ht="14.25">
      <c r="D4" s="64"/>
      <c r="E4" s="64"/>
      <c r="F4" s="64"/>
      <c r="H4" s="42"/>
      <c r="I4" s="42"/>
      <c r="J4" s="64"/>
      <c r="K4" s="107"/>
      <c r="L4" s="107"/>
    </row>
    <row r="5" spans="3:10" ht="12.75">
      <c r="C5" s="29"/>
      <c r="D5" s="42"/>
      <c r="E5" s="24"/>
      <c r="F5" s="42"/>
      <c r="H5" s="42"/>
      <c r="I5" s="42"/>
      <c r="J5" s="42"/>
    </row>
    <row r="6" spans="5:14" ht="15" customHeight="1">
      <c r="E6" s="139"/>
      <c r="F6" s="74" t="s">
        <v>32</v>
      </c>
      <c r="H6" s="42"/>
      <c r="I6" s="42"/>
      <c r="J6" s="74" t="s">
        <v>32</v>
      </c>
      <c r="N6" s="74" t="s">
        <v>32</v>
      </c>
    </row>
    <row r="7" spans="1:14" ht="12.75">
      <c r="A7" s="173" t="s">
        <v>123</v>
      </c>
      <c r="B7" s="173" t="s">
        <v>62</v>
      </c>
      <c r="C7" s="759" t="s">
        <v>441</v>
      </c>
      <c r="D7" s="281" t="s">
        <v>36</v>
      </c>
      <c r="E7" s="282"/>
      <c r="F7" s="283"/>
      <c r="G7" s="754" t="s">
        <v>37</v>
      </c>
      <c r="H7" s="755"/>
      <c r="I7" s="755"/>
      <c r="J7" s="756"/>
      <c r="K7" s="754" t="s">
        <v>37</v>
      </c>
      <c r="L7" s="755"/>
      <c r="M7" s="755"/>
      <c r="N7" s="756"/>
    </row>
    <row r="8" spans="1:14" ht="12.75">
      <c r="A8" s="332"/>
      <c r="B8" s="332"/>
      <c r="C8" s="760"/>
      <c r="D8" s="284">
        <v>2008</v>
      </c>
      <c r="E8" s="285">
        <v>2009</v>
      </c>
      <c r="F8" s="285">
        <v>2010</v>
      </c>
      <c r="G8" s="286">
        <v>2011</v>
      </c>
      <c r="H8" s="285">
        <v>2012</v>
      </c>
      <c r="I8" s="285">
        <v>2013</v>
      </c>
      <c r="J8" s="285">
        <v>2014</v>
      </c>
      <c r="K8" s="285">
        <v>2015</v>
      </c>
      <c r="L8" s="285">
        <v>2016</v>
      </c>
      <c r="M8" s="382">
        <v>2017</v>
      </c>
      <c r="N8" s="173"/>
    </row>
    <row r="9" spans="1:14" ht="3.75" customHeight="1">
      <c r="A9" s="289"/>
      <c r="B9" s="289"/>
      <c r="C9" s="287"/>
      <c r="D9" s="288"/>
      <c r="E9" s="289"/>
      <c r="F9" s="289"/>
      <c r="G9" s="290"/>
      <c r="H9" s="289"/>
      <c r="I9" s="289"/>
      <c r="J9" s="289"/>
      <c r="K9" s="289"/>
      <c r="L9" s="289"/>
      <c r="M9" s="383"/>
      <c r="N9" s="287"/>
    </row>
    <row r="10" spans="1:14" ht="12.75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3</v>
      </c>
      <c r="H10" s="186">
        <v>4</v>
      </c>
      <c r="I10" s="186">
        <v>5</v>
      </c>
      <c r="J10" s="186">
        <v>6</v>
      </c>
      <c r="K10" s="186">
        <v>3</v>
      </c>
      <c r="L10" s="186">
        <v>4</v>
      </c>
      <c r="M10" s="384">
        <v>5</v>
      </c>
      <c r="N10" s="186"/>
    </row>
    <row r="11" spans="1:14" s="295" customFormat="1" ht="16.5">
      <c r="A11" s="291" t="s">
        <v>66</v>
      </c>
      <c r="B11" s="292" t="s">
        <v>267</v>
      </c>
      <c r="C11" s="293">
        <f aca="true" t="shared" si="0" ref="C11:K11">SUM(C12,C16,C17,C18,C19)</f>
        <v>59026343</v>
      </c>
      <c r="D11" s="293">
        <f t="shared" si="0"/>
        <v>64754579</v>
      </c>
      <c r="E11" s="293">
        <f t="shared" si="0"/>
        <v>75254329</v>
      </c>
      <c r="F11" s="293">
        <v>66034857</v>
      </c>
      <c r="G11" s="293">
        <f t="shared" si="0"/>
        <v>67553659</v>
      </c>
      <c r="H11" s="293">
        <f t="shared" si="0"/>
        <v>69107393</v>
      </c>
      <c r="I11" s="293">
        <f t="shared" si="0"/>
        <v>70696863</v>
      </c>
      <c r="J11" s="293">
        <f t="shared" si="0"/>
        <v>72322891</v>
      </c>
      <c r="K11" s="293">
        <f t="shared" si="0"/>
        <v>73986318</v>
      </c>
      <c r="L11" s="293">
        <f>SUM(L12,L16,L17,L18,L19)</f>
        <v>75688003</v>
      </c>
      <c r="M11" s="320">
        <f>SUM(M12,M16,M17,M18,M19)</f>
        <v>77428828</v>
      </c>
      <c r="N11" s="294">
        <f>SUM(N12,N16,N17,N18,N19)</f>
        <v>79751692.84</v>
      </c>
    </row>
    <row r="12" spans="1:14" s="27" customFormat="1" ht="15">
      <c r="A12" s="296" t="s">
        <v>269</v>
      </c>
      <c r="B12" s="297" t="s">
        <v>38</v>
      </c>
      <c r="C12" s="293">
        <f aca="true" t="shared" si="1" ref="C12:K12">SUM(C13:C15)</f>
        <v>16092062</v>
      </c>
      <c r="D12" s="293">
        <f t="shared" si="1"/>
        <v>15552274</v>
      </c>
      <c r="E12" s="293">
        <f t="shared" si="1"/>
        <v>21909976</v>
      </c>
      <c r="F12" s="293">
        <v>15314919</v>
      </c>
      <c r="G12" s="293">
        <f t="shared" si="1"/>
        <v>15667162</v>
      </c>
      <c r="H12" s="293">
        <f t="shared" si="1"/>
        <v>16027507</v>
      </c>
      <c r="I12" s="293">
        <f t="shared" si="1"/>
        <v>16396140</v>
      </c>
      <c r="J12" s="293">
        <f t="shared" si="1"/>
        <v>16773251</v>
      </c>
      <c r="K12" s="293">
        <f t="shared" si="1"/>
        <v>17159036</v>
      </c>
      <c r="L12" s="293">
        <f>SUM(L13:L15)</f>
        <v>17553693</v>
      </c>
      <c r="M12" s="320">
        <f>SUM(M13:M15)</f>
        <v>17957428</v>
      </c>
      <c r="N12" s="294">
        <f>SUM(N13:N15)</f>
        <v>18496150.84</v>
      </c>
    </row>
    <row r="13" spans="1:14" s="27" customFormat="1" ht="25.5" customHeight="1">
      <c r="A13" s="72" t="s">
        <v>67</v>
      </c>
      <c r="B13" s="298" t="s">
        <v>39</v>
      </c>
      <c r="C13" s="299">
        <v>9181109</v>
      </c>
      <c r="D13" s="299">
        <v>8977837</v>
      </c>
      <c r="E13" s="299">
        <f aca="true" t="shared" si="2" ref="E13:E18">ROUND(D13*102.3%,0)</f>
        <v>9184327</v>
      </c>
      <c r="F13" s="299">
        <v>9395567</v>
      </c>
      <c r="G13" s="299">
        <f aca="true" t="shared" si="3" ref="G13:M13">ROUND(F13*102.3%,0)</f>
        <v>9611665</v>
      </c>
      <c r="H13" s="299">
        <f t="shared" si="3"/>
        <v>9832733</v>
      </c>
      <c r="I13" s="299">
        <f t="shared" si="3"/>
        <v>10058886</v>
      </c>
      <c r="J13" s="299">
        <f t="shared" si="3"/>
        <v>10290240</v>
      </c>
      <c r="K13" s="299">
        <f t="shared" si="3"/>
        <v>10526916</v>
      </c>
      <c r="L13" s="299">
        <f t="shared" si="3"/>
        <v>10769035</v>
      </c>
      <c r="M13" s="319">
        <f t="shared" si="3"/>
        <v>11016723</v>
      </c>
      <c r="N13" s="300">
        <f aca="true" t="shared" si="4" ref="N13:N19">M13*103%</f>
        <v>11347224.69</v>
      </c>
    </row>
    <row r="14" spans="1:14" s="27" customFormat="1" ht="12.75" customHeight="1">
      <c r="A14" s="72" t="s">
        <v>68</v>
      </c>
      <c r="B14" s="298" t="s">
        <v>40</v>
      </c>
      <c r="C14" s="299">
        <v>288357</v>
      </c>
      <c r="D14" s="299">
        <v>464346</v>
      </c>
      <c r="E14" s="299">
        <f t="shared" si="2"/>
        <v>475026</v>
      </c>
      <c r="F14" s="299">
        <v>445347</v>
      </c>
      <c r="G14" s="299">
        <f aca="true" t="shared" si="5" ref="G14:M14">ROUND(F14*102.3%,0)</f>
        <v>455590</v>
      </c>
      <c r="H14" s="299">
        <f t="shared" si="5"/>
        <v>466069</v>
      </c>
      <c r="I14" s="299">
        <f t="shared" si="5"/>
        <v>476789</v>
      </c>
      <c r="J14" s="299">
        <f t="shared" si="5"/>
        <v>487755</v>
      </c>
      <c r="K14" s="299">
        <f t="shared" si="5"/>
        <v>498973</v>
      </c>
      <c r="L14" s="299">
        <f t="shared" si="5"/>
        <v>510449</v>
      </c>
      <c r="M14" s="319">
        <f t="shared" si="5"/>
        <v>522189</v>
      </c>
      <c r="N14" s="300">
        <f t="shared" si="4"/>
        <v>537854.67</v>
      </c>
    </row>
    <row r="15" spans="1:14" s="27" customFormat="1" ht="12.75" customHeight="1">
      <c r="A15" s="72" t="s">
        <v>69</v>
      </c>
      <c r="B15" s="298" t="s">
        <v>41</v>
      </c>
      <c r="C15" s="299">
        <v>6622596</v>
      </c>
      <c r="D15" s="299">
        <v>6110091</v>
      </c>
      <c r="E15" s="299">
        <f>ROUND(D15*102.3%,0)+6000000</f>
        <v>12250623</v>
      </c>
      <c r="F15" s="299">
        <v>5474005</v>
      </c>
      <c r="G15" s="299">
        <f aca="true" t="shared" si="6" ref="G15:M15">ROUND(F15*102.3%,0)</f>
        <v>5599907</v>
      </c>
      <c r="H15" s="299">
        <f t="shared" si="6"/>
        <v>5728705</v>
      </c>
      <c r="I15" s="299">
        <f t="shared" si="6"/>
        <v>5860465</v>
      </c>
      <c r="J15" s="299">
        <f t="shared" si="6"/>
        <v>5995256</v>
      </c>
      <c r="K15" s="299">
        <f t="shared" si="6"/>
        <v>6133147</v>
      </c>
      <c r="L15" s="299">
        <f t="shared" si="6"/>
        <v>6274209</v>
      </c>
      <c r="M15" s="319">
        <f t="shared" si="6"/>
        <v>6418516</v>
      </c>
      <c r="N15" s="300">
        <f t="shared" si="4"/>
        <v>6611071.48</v>
      </c>
    </row>
    <row r="16" spans="1:14" s="27" customFormat="1" ht="15">
      <c r="A16" s="301" t="s">
        <v>4</v>
      </c>
      <c r="B16" s="302" t="s">
        <v>124</v>
      </c>
      <c r="C16" s="303">
        <v>33738903</v>
      </c>
      <c r="D16" s="304">
        <v>37788842</v>
      </c>
      <c r="E16" s="304">
        <v>38158643</v>
      </c>
      <c r="F16" s="304">
        <v>39036292</v>
      </c>
      <c r="G16" s="304">
        <f aca="true" t="shared" si="7" ref="G16:M16">ROUND(F16*102.3%,0)</f>
        <v>39934127</v>
      </c>
      <c r="H16" s="304">
        <f t="shared" si="7"/>
        <v>40852612</v>
      </c>
      <c r="I16" s="304">
        <f t="shared" si="7"/>
        <v>41792222</v>
      </c>
      <c r="J16" s="304">
        <f t="shared" si="7"/>
        <v>42753443</v>
      </c>
      <c r="K16" s="304">
        <f t="shared" si="7"/>
        <v>43736772</v>
      </c>
      <c r="L16" s="304">
        <f t="shared" si="7"/>
        <v>44742718</v>
      </c>
      <c r="M16" s="385">
        <f t="shared" si="7"/>
        <v>45771801</v>
      </c>
      <c r="N16" s="294">
        <f t="shared" si="4"/>
        <v>47144955.03</v>
      </c>
    </row>
    <row r="17" spans="1:14" s="308" customFormat="1" ht="30" customHeight="1">
      <c r="A17" s="305" t="s">
        <v>9</v>
      </c>
      <c r="B17" s="306" t="s">
        <v>42</v>
      </c>
      <c r="C17" s="250">
        <v>5040053</v>
      </c>
      <c r="D17" s="304">
        <v>5919698</v>
      </c>
      <c r="E17" s="304">
        <f t="shared" si="2"/>
        <v>6055851</v>
      </c>
      <c r="F17" s="304">
        <v>5990126</v>
      </c>
      <c r="G17" s="304">
        <f aca="true" t="shared" si="8" ref="G17:M17">ROUND(F17*102.3%,0)</f>
        <v>6127899</v>
      </c>
      <c r="H17" s="304">
        <f t="shared" si="8"/>
        <v>6268841</v>
      </c>
      <c r="I17" s="304">
        <f t="shared" si="8"/>
        <v>6413024</v>
      </c>
      <c r="J17" s="304">
        <f t="shared" si="8"/>
        <v>6560524</v>
      </c>
      <c r="K17" s="304">
        <f t="shared" si="8"/>
        <v>6711416</v>
      </c>
      <c r="L17" s="304">
        <f t="shared" si="8"/>
        <v>6865779</v>
      </c>
      <c r="M17" s="385">
        <f t="shared" si="8"/>
        <v>7023692</v>
      </c>
      <c r="N17" s="307">
        <f t="shared" si="4"/>
        <v>7234402.76</v>
      </c>
    </row>
    <row r="18" spans="1:14" s="308" customFormat="1" ht="15">
      <c r="A18" s="305" t="s">
        <v>10</v>
      </c>
      <c r="B18" s="309" t="s">
        <v>125</v>
      </c>
      <c r="C18" s="304">
        <v>3441698</v>
      </c>
      <c r="D18" s="304">
        <v>4691814</v>
      </c>
      <c r="E18" s="304">
        <f t="shared" si="2"/>
        <v>4799726</v>
      </c>
      <c r="F18" s="304">
        <v>3033720</v>
      </c>
      <c r="G18" s="304">
        <f aca="true" t="shared" si="9" ref="G18:M18">ROUND(F18*102.3%,0)</f>
        <v>3103496</v>
      </c>
      <c r="H18" s="304">
        <f t="shared" si="9"/>
        <v>3174876</v>
      </c>
      <c r="I18" s="304">
        <f t="shared" si="9"/>
        <v>3247898</v>
      </c>
      <c r="J18" s="304">
        <f t="shared" si="9"/>
        <v>3322600</v>
      </c>
      <c r="K18" s="304">
        <f t="shared" si="9"/>
        <v>3399020</v>
      </c>
      <c r="L18" s="304">
        <f t="shared" si="9"/>
        <v>3477197</v>
      </c>
      <c r="M18" s="385">
        <f t="shared" si="9"/>
        <v>3557173</v>
      </c>
      <c r="N18" s="307">
        <f t="shared" si="4"/>
        <v>3663888.19</v>
      </c>
    </row>
    <row r="19" spans="1:14" s="308" customFormat="1" ht="15">
      <c r="A19" s="305" t="s">
        <v>13</v>
      </c>
      <c r="B19" s="309" t="s">
        <v>43</v>
      </c>
      <c r="C19" s="304">
        <v>713627</v>
      </c>
      <c r="D19" s="304">
        <v>801951</v>
      </c>
      <c r="E19" s="304">
        <f>2600000+1730133</f>
        <v>4330133</v>
      </c>
      <c r="F19" s="304">
        <v>2659800</v>
      </c>
      <c r="G19" s="304">
        <f aca="true" t="shared" si="10" ref="G19:M19">ROUND(F19*102.3%,0)</f>
        <v>2720975</v>
      </c>
      <c r="H19" s="304">
        <f t="shared" si="10"/>
        <v>2783557</v>
      </c>
      <c r="I19" s="304">
        <f t="shared" si="10"/>
        <v>2847579</v>
      </c>
      <c r="J19" s="304">
        <f t="shared" si="10"/>
        <v>2913073</v>
      </c>
      <c r="K19" s="304">
        <f t="shared" si="10"/>
        <v>2980074</v>
      </c>
      <c r="L19" s="304">
        <f t="shared" si="10"/>
        <v>3048616</v>
      </c>
      <c r="M19" s="385">
        <f t="shared" si="10"/>
        <v>3118734</v>
      </c>
      <c r="N19" s="294">
        <f t="shared" si="4"/>
        <v>3212296.02</v>
      </c>
    </row>
    <row r="20" spans="1:14" s="295" customFormat="1" ht="16.5">
      <c r="A20" s="291" t="s">
        <v>70</v>
      </c>
      <c r="B20" s="292" t="s">
        <v>205</v>
      </c>
      <c r="C20" s="293">
        <f>SUM(C25,C21)</f>
        <v>60636770</v>
      </c>
      <c r="D20" s="293">
        <f aca="true" t="shared" si="11" ref="D20:K20">D21+D25</f>
        <v>67182215</v>
      </c>
      <c r="E20" s="293">
        <f t="shared" si="11"/>
        <v>76667638</v>
      </c>
      <c r="F20" s="293">
        <f t="shared" si="11"/>
        <v>67496002</v>
      </c>
      <c r="G20" s="293">
        <f t="shared" si="11"/>
        <v>64100000</v>
      </c>
      <c r="H20" s="293">
        <f t="shared" si="11"/>
        <v>64500000</v>
      </c>
      <c r="I20" s="293">
        <f t="shared" si="11"/>
        <v>64800000</v>
      </c>
      <c r="J20" s="293">
        <f t="shared" si="11"/>
        <v>65100000</v>
      </c>
      <c r="K20" s="293">
        <f t="shared" si="11"/>
        <v>65500000</v>
      </c>
      <c r="L20" s="293">
        <f>L21+L25</f>
        <v>65800000</v>
      </c>
      <c r="M20" s="320">
        <f>M21+M25</f>
        <v>63500000</v>
      </c>
      <c r="N20" s="294">
        <f>SUM(N21,N25)</f>
        <v>63500000</v>
      </c>
    </row>
    <row r="21" spans="1:14" s="27" customFormat="1" ht="15">
      <c r="A21" s="296" t="s">
        <v>269</v>
      </c>
      <c r="B21" s="297" t="s">
        <v>0</v>
      </c>
      <c r="C21" s="293">
        <v>56671685</v>
      </c>
      <c r="D21" s="304">
        <v>63035167</v>
      </c>
      <c r="E21" s="304">
        <v>63000000</v>
      </c>
      <c r="F21" s="304">
        <v>63300000</v>
      </c>
      <c r="G21" s="304">
        <v>63600000</v>
      </c>
      <c r="H21" s="304">
        <v>64000000</v>
      </c>
      <c r="I21" s="304">
        <v>64300000</v>
      </c>
      <c r="J21" s="304">
        <v>64600000</v>
      </c>
      <c r="K21" s="304">
        <v>65000000</v>
      </c>
      <c r="L21" s="304">
        <v>65300000</v>
      </c>
      <c r="M21" s="385">
        <v>63000000</v>
      </c>
      <c r="N21" s="294">
        <v>63000000</v>
      </c>
    </row>
    <row r="22" spans="1:14" s="27" customFormat="1" ht="12.75" customHeight="1" hidden="1">
      <c r="A22" s="310" t="s">
        <v>67</v>
      </c>
      <c r="B22" s="298" t="s">
        <v>44</v>
      </c>
      <c r="C22" s="299">
        <f>SUM(C23:C24)</f>
        <v>1326594</v>
      </c>
      <c r="D22" s="299">
        <f aca="true" t="shared" si="12" ref="D22:K22">SUM(D23:D24)</f>
        <v>1344287</v>
      </c>
      <c r="E22" s="299">
        <f t="shared" si="12"/>
        <v>1246085</v>
      </c>
      <c r="F22" s="299">
        <f t="shared" si="12"/>
        <v>1066506</v>
      </c>
      <c r="G22" s="299">
        <f t="shared" si="12"/>
        <v>938349</v>
      </c>
      <c r="H22" s="299">
        <f t="shared" si="12"/>
        <v>701792</v>
      </c>
      <c r="I22" s="299">
        <f t="shared" si="12"/>
        <v>543482</v>
      </c>
      <c r="J22" s="299">
        <f t="shared" si="12"/>
        <v>315700</v>
      </c>
      <c r="K22" s="299">
        <f t="shared" si="12"/>
        <v>161100</v>
      </c>
      <c r="L22" s="299">
        <f>SUM(L23:L24)</f>
        <v>161100</v>
      </c>
      <c r="M22" s="319">
        <f>SUM(M23:M24)</f>
        <v>161100</v>
      </c>
      <c r="N22" s="300">
        <f>SUM(N23:N24)</f>
        <v>0</v>
      </c>
    </row>
    <row r="23" spans="1:14" s="27" customFormat="1" ht="12.75" hidden="1">
      <c r="A23" s="311"/>
      <c r="B23" s="312" t="s">
        <v>45</v>
      </c>
      <c r="C23" s="299">
        <f>1326594-C24</f>
        <v>1177000</v>
      </c>
      <c r="D23" s="299">
        <f>1623000-524713</f>
        <v>1098287</v>
      </c>
      <c r="E23" s="299">
        <v>1082085</v>
      </c>
      <c r="F23" s="299">
        <v>1066506</v>
      </c>
      <c r="G23" s="299">
        <v>938349</v>
      </c>
      <c r="H23" s="299">
        <v>701792</v>
      </c>
      <c r="I23" s="299">
        <v>543482</v>
      </c>
      <c r="J23" s="299">
        <v>315700</v>
      </c>
      <c r="K23" s="299">
        <v>161100</v>
      </c>
      <c r="L23" s="299">
        <v>161100</v>
      </c>
      <c r="M23" s="319">
        <v>161100</v>
      </c>
      <c r="N23" s="300"/>
    </row>
    <row r="24" spans="1:14" s="27" customFormat="1" ht="12.75" hidden="1">
      <c r="A24" s="311"/>
      <c r="B24" s="312" t="s">
        <v>46</v>
      </c>
      <c r="C24" s="299">
        <v>149594</v>
      </c>
      <c r="D24" s="299">
        <v>246000</v>
      </c>
      <c r="E24" s="299">
        <v>164000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319">
        <v>0</v>
      </c>
      <c r="N24" s="300">
        <v>0</v>
      </c>
    </row>
    <row r="25" spans="1:14" s="27" customFormat="1" ht="15">
      <c r="A25" s="296" t="s">
        <v>4</v>
      </c>
      <c r="B25" s="297" t="s">
        <v>47</v>
      </c>
      <c r="C25" s="293">
        <v>3965085</v>
      </c>
      <c r="D25" s="293">
        <v>4147048</v>
      </c>
      <c r="E25" s="293">
        <v>13667638</v>
      </c>
      <c r="F25" s="293">
        <v>4196002</v>
      </c>
      <c r="G25" s="293">
        <v>500000</v>
      </c>
      <c r="H25" s="293">
        <v>500000</v>
      </c>
      <c r="I25" s="293">
        <v>500000</v>
      </c>
      <c r="J25" s="293">
        <v>500000</v>
      </c>
      <c r="K25" s="293">
        <v>500000</v>
      </c>
      <c r="L25" s="293">
        <v>500000</v>
      </c>
      <c r="M25" s="320">
        <v>500000</v>
      </c>
      <c r="N25" s="294">
        <v>500000</v>
      </c>
    </row>
    <row r="26" spans="1:14" s="295" customFormat="1" ht="16.5">
      <c r="A26" s="291" t="s">
        <v>71</v>
      </c>
      <c r="B26" s="292" t="s">
        <v>48</v>
      </c>
      <c r="C26" s="293">
        <f>C11-C20</f>
        <v>-1610427</v>
      </c>
      <c r="D26" s="293">
        <f aca="true" t="shared" si="13" ref="D26:K26">D11-D20</f>
        <v>-2427636</v>
      </c>
      <c r="E26" s="293">
        <f t="shared" si="13"/>
        <v>-1413309</v>
      </c>
      <c r="F26" s="293">
        <f t="shared" si="13"/>
        <v>-1461145</v>
      </c>
      <c r="G26" s="293">
        <f t="shared" si="13"/>
        <v>3453659</v>
      </c>
      <c r="H26" s="293">
        <f t="shared" si="13"/>
        <v>4607393</v>
      </c>
      <c r="I26" s="293">
        <f t="shared" si="13"/>
        <v>5896863</v>
      </c>
      <c r="J26" s="293">
        <f t="shared" si="13"/>
        <v>7222891</v>
      </c>
      <c r="K26" s="293">
        <f t="shared" si="13"/>
        <v>8486318</v>
      </c>
      <c r="L26" s="293">
        <f>L11-L20</f>
        <v>9888003</v>
      </c>
      <c r="M26" s="320">
        <f>M11-M20</f>
        <v>13928828</v>
      </c>
      <c r="N26" s="294">
        <f>N11-N20</f>
        <v>16251692.840000004</v>
      </c>
    </row>
    <row r="27" spans="1:14" s="314" customFormat="1" ht="38.25" customHeight="1">
      <c r="A27" s="291" t="s">
        <v>88</v>
      </c>
      <c r="B27" s="313" t="s">
        <v>49</v>
      </c>
      <c r="C27" s="293">
        <v>20733971</v>
      </c>
      <c r="D27" s="293">
        <f aca="true" t="shared" si="14" ref="D27:N27">SUM(C41)</f>
        <v>23429971</v>
      </c>
      <c r="E27" s="293">
        <f t="shared" si="14"/>
        <v>23442821</v>
      </c>
      <c r="F27" s="293">
        <f t="shared" si="14"/>
        <v>24856130</v>
      </c>
      <c r="G27" s="293">
        <f t="shared" si="14"/>
        <v>26317275</v>
      </c>
      <c r="H27" s="293">
        <f t="shared" si="14"/>
        <v>22863616</v>
      </c>
      <c r="I27" s="293">
        <f t="shared" si="14"/>
        <v>18256223</v>
      </c>
      <c r="J27" s="293">
        <f t="shared" si="14"/>
        <v>12359360</v>
      </c>
      <c r="K27" s="293">
        <f t="shared" si="14"/>
        <v>6850869</v>
      </c>
      <c r="L27" s="293">
        <f t="shared" si="14"/>
        <v>2850869</v>
      </c>
      <c r="M27" s="320">
        <f t="shared" si="14"/>
        <v>0</v>
      </c>
      <c r="N27" s="294">
        <f t="shared" si="14"/>
        <v>0</v>
      </c>
    </row>
    <row r="28" spans="1:14" s="316" customFormat="1" ht="30" customHeight="1">
      <c r="A28" s="296" t="s">
        <v>111</v>
      </c>
      <c r="B28" s="306" t="s">
        <v>337</v>
      </c>
      <c r="C28" s="315">
        <v>6223600</v>
      </c>
      <c r="D28" s="315">
        <f>SUM('zał2-sfin'!F14)</f>
        <v>3490450</v>
      </c>
      <c r="E28" s="315">
        <f>-E26+E32+E36+E39</f>
        <v>6613309</v>
      </c>
      <c r="F28" s="315">
        <f>-F26+F32+F36+F39</f>
        <v>6661145</v>
      </c>
      <c r="G28" s="315">
        <f>-G26+G32+G36+G39</f>
        <v>3246341</v>
      </c>
      <c r="H28" s="315">
        <f>-H26+H32+H36+H39</f>
        <v>2530978</v>
      </c>
      <c r="I28" s="315">
        <f>-I26+I32+I36+I39</f>
        <v>1407137</v>
      </c>
      <c r="J28" s="315">
        <v>0</v>
      </c>
      <c r="K28" s="315">
        <v>0</v>
      </c>
      <c r="L28" s="315">
        <v>0</v>
      </c>
      <c r="M28" s="386">
        <v>0</v>
      </c>
      <c r="N28" s="294">
        <f>240162+N31+N39</f>
        <v>3551162</v>
      </c>
    </row>
    <row r="29" spans="1:14" s="316" customFormat="1" ht="15" customHeight="1" hidden="1">
      <c r="A29" s="296">
        <v>2</v>
      </c>
      <c r="B29" s="306" t="s">
        <v>50</v>
      </c>
      <c r="C29" s="317" t="s">
        <v>131</v>
      </c>
      <c r="D29" s="145" t="s">
        <v>131</v>
      </c>
      <c r="E29" s="145" t="s">
        <v>131</v>
      </c>
      <c r="F29" s="145" t="s">
        <v>131</v>
      </c>
      <c r="G29" s="145" t="s">
        <v>131</v>
      </c>
      <c r="H29" s="145" t="s">
        <v>131</v>
      </c>
      <c r="I29" s="145" t="s">
        <v>131</v>
      </c>
      <c r="J29" s="145" t="s">
        <v>131</v>
      </c>
      <c r="K29" s="145" t="s">
        <v>131</v>
      </c>
      <c r="L29" s="145" t="s">
        <v>131</v>
      </c>
      <c r="M29" s="387" t="s">
        <v>131</v>
      </c>
      <c r="N29" s="318" t="s">
        <v>131</v>
      </c>
    </row>
    <row r="30" spans="1:14" s="316" customFormat="1" ht="15" customHeight="1">
      <c r="A30" s="296" t="s">
        <v>112</v>
      </c>
      <c r="B30" s="309" t="s">
        <v>268</v>
      </c>
      <c r="C30" s="317">
        <f aca="true" t="shared" si="15" ref="C30:L30">SUM(C31,C35,C39,C40)</f>
        <v>4550689</v>
      </c>
      <c r="D30" s="317">
        <f t="shared" si="15"/>
        <v>5089284</v>
      </c>
      <c r="E30" s="317">
        <f t="shared" si="15"/>
        <v>6897807</v>
      </c>
      <c r="F30" s="317">
        <f t="shared" si="15"/>
        <v>6935864</v>
      </c>
      <c r="G30" s="317">
        <f t="shared" si="15"/>
        <v>8223181</v>
      </c>
      <c r="H30" s="317">
        <f t="shared" si="15"/>
        <v>8411182</v>
      </c>
      <c r="I30" s="317">
        <f t="shared" si="15"/>
        <v>8261968</v>
      </c>
      <c r="J30" s="317">
        <f t="shared" si="15"/>
        <v>6171034</v>
      </c>
      <c r="K30" s="317">
        <f t="shared" si="15"/>
        <v>4339940</v>
      </c>
      <c r="L30" s="317">
        <f t="shared" si="15"/>
        <v>3075869</v>
      </c>
      <c r="M30" s="387">
        <f>SUM(M31,M35,M39,M40)</f>
        <v>0</v>
      </c>
      <c r="N30" s="318"/>
    </row>
    <row r="31" spans="1:14" s="316" customFormat="1" ht="30">
      <c r="A31" s="296" t="s">
        <v>269</v>
      </c>
      <c r="B31" s="306" t="s">
        <v>3</v>
      </c>
      <c r="C31" s="293">
        <f aca="true" t="shared" si="16" ref="C31:L31">SUM(C32:C34)</f>
        <v>3550689</v>
      </c>
      <c r="D31" s="293">
        <f t="shared" si="16"/>
        <v>2898865</v>
      </c>
      <c r="E31" s="293">
        <f t="shared" si="16"/>
        <v>4942807</v>
      </c>
      <c r="F31" s="293">
        <f t="shared" si="16"/>
        <v>5015864</v>
      </c>
      <c r="G31" s="293">
        <f t="shared" si="16"/>
        <v>4843181</v>
      </c>
      <c r="H31" s="293">
        <f t="shared" si="16"/>
        <v>4551182</v>
      </c>
      <c r="I31" s="293">
        <f t="shared" si="16"/>
        <v>3921968</v>
      </c>
      <c r="J31" s="293">
        <f t="shared" si="16"/>
        <v>1851034</v>
      </c>
      <c r="K31" s="293">
        <f t="shared" si="16"/>
        <v>0</v>
      </c>
      <c r="L31" s="293">
        <f t="shared" si="16"/>
        <v>0</v>
      </c>
      <c r="M31" s="320">
        <f>SUM(M32:M34)</f>
        <v>0</v>
      </c>
      <c r="N31" s="294">
        <v>2311000</v>
      </c>
    </row>
    <row r="32" spans="1:14" s="316" customFormat="1" ht="15" customHeight="1">
      <c r="A32" s="72" t="s">
        <v>270</v>
      </c>
      <c r="B32" s="298" t="s">
        <v>271</v>
      </c>
      <c r="C32" s="299">
        <v>2527600</v>
      </c>
      <c r="D32" s="299">
        <v>1477600</v>
      </c>
      <c r="E32" s="299">
        <v>3700000</v>
      </c>
      <c r="F32" s="299">
        <v>3700000</v>
      </c>
      <c r="G32" s="299">
        <v>3700000</v>
      </c>
      <c r="H32" s="299">
        <v>3638371</v>
      </c>
      <c r="I32" s="299">
        <v>3304000</v>
      </c>
      <c r="J32" s="299">
        <v>1508491</v>
      </c>
      <c r="K32" s="299">
        <v>0</v>
      </c>
      <c r="L32" s="299">
        <v>0</v>
      </c>
      <c r="M32" s="319">
        <v>0</v>
      </c>
      <c r="N32" s="334">
        <v>0</v>
      </c>
    </row>
    <row r="33" spans="1:14" s="316" customFormat="1" ht="51" hidden="1">
      <c r="A33" s="72" t="s">
        <v>68</v>
      </c>
      <c r="B33" s="298" t="s">
        <v>1</v>
      </c>
      <c r="C33" s="299"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319"/>
      <c r="N33" s="300"/>
    </row>
    <row r="34" spans="1:14" s="316" customFormat="1" ht="15" customHeight="1">
      <c r="A34" s="72" t="s">
        <v>68</v>
      </c>
      <c r="B34" s="298" t="s">
        <v>2</v>
      </c>
      <c r="C34" s="299">
        <v>1023089</v>
      </c>
      <c r="D34" s="299">
        <v>1421265</v>
      </c>
      <c r="E34" s="299">
        <f aca="true" t="shared" si="17" ref="E34:J34">ROUND(E44*5%,0)</f>
        <v>1242807</v>
      </c>
      <c r="F34" s="299">
        <f t="shared" si="17"/>
        <v>1315864</v>
      </c>
      <c r="G34" s="299">
        <f t="shared" si="17"/>
        <v>1143181</v>
      </c>
      <c r="H34" s="299">
        <f t="shared" si="17"/>
        <v>912811</v>
      </c>
      <c r="I34" s="299">
        <f t="shared" si="17"/>
        <v>617968</v>
      </c>
      <c r="J34" s="299">
        <f t="shared" si="17"/>
        <v>342543</v>
      </c>
      <c r="K34" s="299">
        <v>0</v>
      </c>
      <c r="L34" s="299">
        <v>0</v>
      </c>
      <c r="M34" s="319">
        <v>0</v>
      </c>
      <c r="N34" s="319">
        <f>ROUND(N44*5%,0)</f>
        <v>12008</v>
      </c>
    </row>
    <row r="35" spans="1:14" s="316" customFormat="1" ht="30">
      <c r="A35" s="296" t="s">
        <v>4</v>
      </c>
      <c r="B35" s="306" t="s">
        <v>6</v>
      </c>
      <c r="C35" s="293">
        <f aca="true" t="shared" si="18" ref="C35:L35">SUM(C36:C38)</f>
        <v>0</v>
      </c>
      <c r="D35" s="293">
        <f t="shared" si="18"/>
        <v>190419</v>
      </c>
      <c r="E35" s="293">
        <f t="shared" si="18"/>
        <v>1955000</v>
      </c>
      <c r="F35" s="293">
        <f t="shared" si="18"/>
        <v>1920000</v>
      </c>
      <c r="G35" s="293">
        <f t="shared" si="18"/>
        <v>3380000</v>
      </c>
      <c r="H35" s="293">
        <f t="shared" si="18"/>
        <v>3860000</v>
      </c>
      <c r="I35" s="293">
        <f t="shared" si="18"/>
        <v>4340000</v>
      </c>
      <c r="J35" s="293">
        <f t="shared" si="18"/>
        <v>4320000</v>
      </c>
      <c r="K35" s="293">
        <f t="shared" si="18"/>
        <v>4339940</v>
      </c>
      <c r="L35" s="293">
        <f t="shared" si="18"/>
        <v>3075869</v>
      </c>
      <c r="M35" s="320">
        <f>SUM(M36:M38)</f>
        <v>0</v>
      </c>
      <c r="N35" s="320"/>
    </row>
    <row r="36" spans="1:14" s="316" customFormat="1" ht="15" customHeight="1">
      <c r="A36" s="72" t="s">
        <v>270</v>
      </c>
      <c r="B36" s="298" t="s">
        <v>271</v>
      </c>
      <c r="C36" s="299">
        <v>0</v>
      </c>
      <c r="D36" s="299">
        <v>0</v>
      </c>
      <c r="E36" s="299">
        <v>1500000</v>
      </c>
      <c r="F36" s="299">
        <v>1500000</v>
      </c>
      <c r="G36" s="299">
        <v>3000000</v>
      </c>
      <c r="H36" s="299">
        <v>3500000</v>
      </c>
      <c r="I36" s="299">
        <v>4000000</v>
      </c>
      <c r="J36" s="299">
        <v>4000000</v>
      </c>
      <c r="K36" s="299">
        <v>4000000</v>
      </c>
      <c r="L36" s="299">
        <v>2850869</v>
      </c>
      <c r="M36" s="319">
        <v>0</v>
      </c>
      <c r="N36" s="300"/>
    </row>
    <row r="37" spans="1:14" s="316" customFormat="1" ht="51" hidden="1">
      <c r="A37" s="72" t="s">
        <v>68</v>
      </c>
      <c r="B37" s="298" t="s">
        <v>1</v>
      </c>
      <c r="C37" s="299">
        <v>0</v>
      </c>
      <c r="D37" s="144"/>
      <c r="E37" s="299"/>
      <c r="F37" s="299"/>
      <c r="G37" s="299"/>
      <c r="H37" s="299"/>
      <c r="I37" s="299"/>
      <c r="J37" s="299"/>
      <c r="K37" s="299"/>
      <c r="L37" s="299"/>
      <c r="M37" s="319"/>
      <c r="N37" s="300"/>
    </row>
    <row r="38" spans="1:14" s="316" customFormat="1" ht="15" customHeight="1">
      <c r="A38" s="72" t="s">
        <v>68</v>
      </c>
      <c r="B38" s="298" t="s">
        <v>2</v>
      </c>
      <c r="C38" s="299">
        <v>0</v>
      </c>
      <c r="D38" s="299">
        <v>190419</v>
      </c>
      <c r="E38" s="299">
        <v>455000</v>
      </c>
      <c r="F38" s="299">
        <v>420000</v>
      </c>
      <c r="G38" s="299">
        <v>380000</v>
      </c>
      <c r="H38" s="299">
        <v>360000</v>
      </c>
      <c r="I38" s="299">
        <v>340000</v>
      </c>
      <c r="J38" s="299">
        <v>320000</v>
      </c>
      <c r="K38" s="299">
        <f>250000+89940</f>
        <v>339940</v>
      </c>
      <c r="L38" s="299">
        <v>225000</v>
      </c>
      <c r="M38" s="319"/>
      <c r="N38" s="300"/>
    </row>
    <row r="39" spans="1:14" s="316" customFormat="1" ht="15" customHeight="1">
      <c r="A39" s="296" t="s">
        <v>9</v>
      </c>
      <c r="B39" s="306" t="s">
        <v>8</v>
      </c>
      <c r="C39" s="293">
        <v>1000000</v>
      </c>
      <c r="D39" s="293">
        <v>2000000</v>
      </c>
      <c r="E39" s="293">
        <v>0</v>
      </c>
      <c r="F39" s="293">
        <v>0</v>
      </c>
      <c r="G39" s="293"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320">
        <v>0</v>
      </c>
      <c r="N39" s="294">
        <v>1000000</v>
      </c>
    </row>
    <row r="40" spans="1:14" s="316" customFormat="1" ht="15" customHeight="1">
      <c r="A40" s="296" t="s">
        <v>10</v>
      </c>
      <c r="B40" s="306" t="s">
        <v>7</v>
      </c>
      <c r="C40" s="293">
        <v>0</v>
      </c>
      <c r="D40" s="293">
        <v>0</v>
      </c>
      <c r="E40" s="293"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320">
        <v>0</v>
      </c>
      <c r="N40" s="333">
        <v>0</v>
      </c>
    </row>
    <row r="41" spans="1:14" s="314" customFormat="1" ht="25.5" customHeight="1">
      <c r="A41" s="291" t="s">
        <v>113</v>
      </c>
      <c r="B41" s="313" t="s">
        <v>52</v>
      </c>
      <c r="C41" s="293">
        <f aca="true" t="shared" si="19" ref="C41:L41">SUM(C27+C28-C32-C36-C39)</f>
        <v>23429971</v>
      </c>
      <c r="D41" s="293">
        <f t="shared" si="19"/>
        <v>23442821</v>
      </c>
      <c r="E41" s="293">
        <f t="shared" si="19"/>
        <v>24856130</v>
      </c>
      <c r="F41" s="293">
        <f t="shared" si="19"/>
        <v>26317275</v>
      </c>
      <c r="G41" s="293">
        <f t="shared" si="19"/>
        <v>22863616</v>
      </c>
      <c r="H41" s="293">
        <f t="shared" si="19"/>
        <v>18256223</v>
      </c>
      <c r="I41" s="293">
        <f t="shared" si="19"/>
        <v>12359360</v>
      </c>
      <c r="J41" s="293">
        <f t="shared" si="19"/>
        <v>6850869</v>
      </c>
      <c r="K41" s="293">
        <f t="shared" si="19"/>
        <v>2850869</v>
      </c>
      <c r="L41" s="293">
        <f t="shared" si="19"/>
        <v>0</v>
      </c>
      <c r="M41" s="320">
        <f>SUM(M27+M28-M32-M36-M39)</f>
        <v>0</v>
      </c>
      <c r="N41" s="294">
        <f>SUM(N27,N28,-N31,-N39)</f>
        <v>240162</v>
      </c>
    </row>
    <row r="42" spans="1:14" s="314" customFormat="1" ht="51" customHeight="1">
      <c r="A42" s="757" t="s">
        <v>115</v>
      </c>
      <c r="B42" s="701" t="s">
        <v>53</v>
      </c>
      <c r="C42" s="293">
        <f>SUM(C32,C36,C40,C39,C34,C38)</f>
        <v>4550689</v>
      </c>
      <c r="D42" s="293">
        <f>SUM(D32,D36,D40,D39,D34,D38)</f>
        <v>5089284</v>
      </c>
      <c r="E42" s="293">
        <f aca="true" t="shared" si="20" ref="E42:L42">SUM(E32,E36,E40,E39,E34,E38)</f>
        <v>6897807</v>
      </c>
      <c r="F42" s="293">
        <f t="shared" si="20"/>
        <v>6935864</v>
      </c>
      <c r="G42" s="293">
        <f t="shared" si="20"/>
        <v>8223181</v>
      </c>
      <c r="H42" s="293">
        <f t="shared" si="20"/>
        <v>8411182</v>
      </c>
      <c r="I42" s="293">
        <f t="shared" si="20"/>
        <v>8261968</v>
      </c>
      <c r="J42" s="293">
        <f t="shared" si="20"/>
        <v>6171034</v>
      </c>
      <c r="K42" s="293">
        <f t="shared" si="20"/>
        <v>4339940</v>
      </c>
      <c r="L42" s="293">
        <f t="shared" si="20"/>
        <v>3075869</v>
      </c>
      <c r="M42" s="320">
        <f>SUM(M32,M36,M40,M39,M34,M38)</f>
        <v>0</v>
      </c>
      <c r="N42" s="294">
        <f>SUM(N31:N39,N22)</f>
        <v>3323008</v>
      </c>
    </row>
    <row r="43" spans="1:14" s="323" customFormat="1" ht="17.25" customHeight="1">
      <c r="A43" s="758"/>
      <c r="B43" s="703"/>
      <c r="C43" s="321">
        <f aca="true" t="shared" si="21" ref="C43:N43">C42/C11</f>
        <v>0.07709589936818549</v>
      </c>
      <c r="D43" s="321">
        <f t="shared" si="21"/>
        <v>0.07859342271378214</v>
      </c>
      <c r="E43" s="321">
        <f t="shared" si="21"/>
        <v>0.09165993626758667</v>
      </c>
      <c r="F43" s="321">
        <f t="shared" si="21"/>
        <v>0.10503337653930257</v>
      </c>
      <c r="G43" s="321">
        <f t="shared" si="21"/>
        <v>0.12172813614729588</v>
      </c>
      <c r="H43" s="321">
        <f t="shared" si="21"/>
        <v>0.12171175376272694</v>
      </c>
      <c r="I43" s="321">
        <f t="shared" si="21"/>
        <v>0.11686470444947465</v>
      </c>
      <c r="J43" s="321">
        <f t="shared" si="21"/>
        <v>0.08532615213072718</v>
      </c>
      <c r="K43" s="321">
        <f t="shared" si="21"/>
        <v>0.05865868335277882</v>
      </c>
      <c r="L43" s="321">
        <f t="shared" si="21"/>
        <v>0.040638791857145445</v>
      </c>
      <c r="M43" s="322">
        <f t="shared" si="21"/>
        <v>0</v>
      </c>
      <c r="N43" s="322">
        <f t="shared" si="21"/>
        <v>0.04166692745527933</v>
      </c>
    </row>
    <row r="44" spans="1:14" s="314" customFormat="1" ht="25.5" customHeight="1">
      <c r="A44" s="291" t="s">
        <v>58</v>
      </c>
      <c r="B44" s="313" t="s">
        <v>11</v>
      </c>
      <c r="C44" s="293">
        <f>SUM(C45:C46)</f>
        <v>23429971</v>
      </c>
      <c r="D44" s="293">
        <f aca="true" t="shared" si="22" ref="D44:K44">SUM(D45:D46)</f>
        <v>23442821</v>
      </c>
      <c r="E44" s="293">
        <f t="shared" si="22"/>
        <v>24856130</v>
      </c>
      <c r="F44" s="293">
        <f t="shared" si="22"/>
        <v>26317275</v>
      </c>
      <c r="G44" s="293">
        <f t="shared" si="22"/>
        <v>22863616</v>
      </c>
      <c r="H44" s="293">
        <f t="shared" si="22"/>
        <v>18256223</v>
      </c>
      <c r="I44" s="293">
        <f t="shared" si="22"/>
        <v>12359360</v>
      </c>
      <c r="J44" s="293">
        <f t="shared" si="22"/>
        <v>6850869</v>
      </c>
      <c r="K44" s="293">
        <f t="shared" si="22"/>
        <v>2850869</v>
      </c>
      <c r="L44" s="293">
        <f>SUM(L45:L46)</f>
        <v>0</v>
      </c>
      <c r="M44" s="320">
        <f>SUM(M45:M46)</f>
        <v>0</v>
      </c>
      <c r="N44" s="294">
        <f>SUM(N45:N46)</f>
        <v>240162</v>
      </c>
    </row>
    <row r="45" spans="1:14" s="316" customFormat="1" ht="15" customHeight="1" hidden="1">
      <c r="A45" s="296">
        <v>1</v>
      </c>
      <c r="B45" s="306" t="s">
        <v>54</v>
      </c>
      <c r="C45" s="317">
        <v>21429971</v>
      </c>
      <c r="D45" s="145">
        <f aca="true" t="shared" si="23" ref="D45:L45">C45+D28-D32-D36</f>
        <v>23442821</v>
      </c>
      <c r="E45" s="145">
        <f t="shared" si="23"/>
        <v>24856130</v>
      </c>
      <c r="F45" s="145">
        <f t="shared" si="23"/>
        <v>26317275</v>
      </c>
      <c r="G45" s="145">
        <f t="shared" si="23"/>
        <v>22863616</v>
      </c>
      <c r="H45" s="145">
        <f t="shared" si="23"/>
        <v>18256223</v>
      </c>
      <c r="I45" s="145">
        <f t="shared" si="23"/>
        <v>12359360</v>
      </c>
      <c r="J45" s="145">
        <f t="shared" si="23"/>
        <v>6850869</v>
      </c>
      <c r="K45" s="145">
        <f t="shared" si="23"/>
        <v>2850869</v>
      </c>
      <c r="L45" s="145">
        <f t="shared" si="23"/>
        <v>0</v>
      </c>
      <c r="M45" s="387">
        <f>L45+M28-M32-M36</f>
        <v>0</v>
      </c>
      <c r="N45" s="294">
        <f>M45+N28-N31</f>
        <v>1240162</v>
      </c>
    </row>
    <row r="46" spans="1:14" s="316" customFormat="1" ht="15" customHeight="1" hidden="1">
      <c r="A46" s="296">
        <v>2</v>
      </c>
      <c r="B46" s="306" t="s">
        <v>50</v>
      </c>
      <c r="C46" s="317">
        <v>2000000</v>
      </c>
      <c r="D46" s="145">
        <f aca="true" t="shared" si="24" ref="D46:L46">C46-D39</f>
        <v>0</v>
      </c>
      <c r="E46" s="145">
        <f t="shared" si="24"/>
        <v>0</v>
      </c>
      <c r="F46" s="145">
        <f t="shared" si="24"/>
        <v>0</v>
      </c>
      <c r="G46" s="145">
        <f t="shared" si="24"/>
        <v>0</v>
      </c>
      <c r="H46" s="145">
        <f t="shared" si="24"/>
        <v>0</v>
      </c>
      <c r="I46" s="145">
        <f t="shared" si="24"/>
        <v>0</v>
      </c>
      <c r="J46" s="145">
        <f t="shared" si="24"/>
        <v>0</v>
      </c>
      <c r="K46" s="145">
        <f t="shared" si="24"/>
        <v>0</v>
      </c>
      <c r="L46" s="145">
        <f t="shared" si="24"/>
        <v>0</v>
      </c>
      <c r="M46" s="387">
        <f>L46-M39</f>
        <v>0</v>
      </c>
      <c r="N46" s="294">
        <f>M46-N39</f>
        <v>-1000000</v>
      </c>
    </row>
    <row r="47" spans="1:14" s="325" customFormat="1" ht="51">
      <c r="A47" s="324" t="s">
        <v>67</v>
      </c>
      <c r="B47" s="298" t="s">
        <v>12</v>
      </c>
      <c r="C47" s="259">
        <v>0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388">
        <v>0</v>
      </c>
      <c r="N47" s="307"/>
    </row>
    <row r="48" spans="1:14" s="328" customFormat="1" ht="16.5" customHeight="1">
      <c r="A48" s="305" t="s">
        <v>338</v>
      </c>
      <c r="B48" s="313" t="s">
        <v>288</v>
      </c>
      <c r="C48" s="326">
        <f aca="true" t="shared" si="25" ref="C48:L48">C44/C11</f>
        <v>0.39694092178470214</v>
      </c>
      <c r="D48" s="326">
        <f t="shared" si="25"/>
        <v>0.3620256877895847</v>
      </c>
      <c r="E48" s="326">
        <f t="shared" si="25"/>
        <v>0.3302950186427149</v>
      </c>
      <c r="F48" s="326">
        <f t="shared" si="25"/>
        <v>0.39853610949744317</v>
      </c>
      <c r="G48" s="326">
        <f t="shared" si="25"/>
        <v>0.33845118589357237</v>
      </c>
      <c r="H48" s="326">
        <f t="shared" si="25"/>
        <v>0.2641717797110361</v>
      </c>
      <c r="I48" s="326">
        <f t="shared" si="25"/>
        <v>0.17482190122070904</v>
      </c>
      <c r="J48" s="326">
        <f t="shared" si="25"/>
        <v>0.09472614970549227</v>
      </c>
      <c r="K48" s="326">
        <f t="shared" si="25"/>
        <v>0.038532381081594035</v>
      </c>
      <c r="L48" s="326">
        <f t="shared" si="25"/>
        <v>0</v>
      </c>
      <c r="M48" s="327">
        <f>M44/M11</f>
        <v>0</v>
      </c>
      <c r="N48" s="327">
        <f>N44/N11</f>
        <v>0.003011371814787925</v>
      </c>
    </row>
    <row r="49" spans="1:14" s="331" customFormat="1" ht="25.5">
      <c r="A49" s="305" t="s">
        <v>339</v>
      </c>
      <c r="B49" s="313" t="s">
        <v>289</v>
      </c>
      <c r="C49" s="329">
        <f aca="true" t="shared" si="26" ref="C49:L49">(C42/C11)</f>
        <v>0.07709589936818549</v>
      </c>
      <c r="D49" s="329">
        <f t="shared" si="26"/>
        <v>0.07859342271378214</v>
      </c>
      <c r="E49" s="329">
        <f t="shared" si="26"/>
        <v>0.09165993626758667</v>
      </c>
      <c r="F49" s="329">
        <f t="shared" si="26"/>
        <v>0.10503337653930257</v>
      </c>
      <c r="G49" s="329">
        <f t="shared" si="26"/>
        <v>0.12172813614729588</v>
      </c>
      <c r="H49" s="329">
        <f t="shared" si="26"/>
        <v>0.12171175376272694</v>
      </c>
      <c r="I49" s="329">
        <f t="shared" si="26"/>
        <v>0.11686470444947465</v>
      </c>
      <c r="J49" s="329">
        <f t="shared" si="26"/>
        <v>0.08532615213072718</v>
      </c>
      <c r="K49" s="329">
        <f t="shared" si="26"/>
        <v>0.05865868335277882</v>
      </c>
      <c r="L49" s="329">
        <f t="shared" si="26"/>
        <v>0.040638791857145445</v>
      </c>
      <c r="M49" s="330">
        <f>(M42/M11)</f>
        <v>0</v>
      </c>
      <c r="N49" s="330"/>
    </row>
    <row r="50" spans="1:14" s="53" customFormat="1" ht="14.25" customHeight="1">
      <c r="A50" s="305" t="s">
        <v>59</v>
      </c>
      <c r="B50" s="313" t="s">
        <v>290</v>
      </c>
      <c r="C50" s="329">
        <f aca="true" t="shared" si="27" ref="C50:L50">C44/C11</f>
        <v>0.39694092178470214</v>
      </c>
      <c r="D50" s="329">
        <f t="shared" si="27"/>
        <v>0.3620256877895847</v>
      </c>
      <c r="E50" s="329">
        <f t="shared" si="27"/>
        <v>0.3302950186427149</v>
      </c>
      <c r="F50" s="329">
        <f t="shared" si="27"/>
        <v>0.39853610949744317</v>
      </c>
      <c r="G50" s="329">
        <f t="shared" si="27"/>
        <v>0.33845118589357237</v>
      </c>
      <c r="H50" s="329">
        <f t="shared" si="27"/>
        <v>0.2641717797110361</v>
      </c>
      <c r="I50" s="329">
        <f t="shared" si="27"/>
        <v>0.17482190122070904</v>
      </c>
      <c r="J50" s="329">
        <f t="shared" si="27"/>
        <v>0.09472614970549227</v>
      </c>
      <c r="K50" s="329">
        <f t="shared" si="27"/>
        <v>0.038532381081594035</v>
      </c>
      <c r="L50" s="329">
        <f t="shared" si="27"/>
        <v>0</v>
      </c>
      <c r="M50" s="330">
        <f>M44/M11</f>
        <v>0</v>
      </c>
      <c r="N50" s="330"/>
    </row>
    <row r="51" spans="1:14" s="53" customFormat="1" ht="24.75" customHeight="1">
      <c r="A51" s="305" t="s">
        <v>60</v>
      </c>
      <c r="B51" s="313" t="s">
        <v>291</v>
      </c>
      <c r="C51" s="329">
        <f aca="true" t="shared" si="28" ref="C51:L51">C42/C11</f>
        <v>0.07709589936818549</v>
      </c>
      <c r="D51" s="329">
        <f t="shared" si="28"/>
        <v>0.07859342271378214</v>
      </c>
      <c r="E51" s="329">
        <f t="shared" si="28"/>
        <v>0.09165993626758667</v>
      </c>
      <c r="F51" s="329">
        <f t="shared" si="28"/>
        <v>0.10503337653930257</v>
      </c>
      <c r="G51" s="329">
        <f t="shared" si="28"/>
        <v>0.12172813614729588</v>
      </c>
      <c r="H51" s="329">
        <f t="shared" si="28"/>
        <v>0.12171175376272694</v>
      </c>
      <c r="I51" s="329">
        <f t="shared" si="28"/>
        <v>0.11686470444947465</v>
      </c>
      <c r="J51" s="329">
        <f t="shared" si="28"/>
        <v>0.08532615213072718</v>
      </c>
      <c r="K51" s="329">
        <f t="shared" si="28"/>
        <v>0.05865868335277882</v>
      </c>
      <c r="L51" s="329">
        <f t="shared" si="28"/>
        <v>0.040638791857145445</v>
      </c>
      <c r="M51" s="330">
        <f>M42/M11</f>
        <v>0</v>
      </c>
      <c r="N51" s="330"/>
    </row>
    <row r="52" spans="1:13" ht="12.75">
      <c r="A52" s="48"/>
      <c r="D52" s="42"/>
      <c r="E52" s="42"/>
      <c r="F52" s="73"/>
      <c r="G52" s="48"/>
      <c r="H52" s="42"/>
      <c r="I52" s="42"/>
      <c r="J52" s="42"/>
      <c r="K52" s="42"/>
      <c r="L52" s="73"/>
      <c r="M52" s="48"/>
    </row>
    <row r="53" spans="1:14" ht="12.75" hidden="1">
      <c r="A53" s="48"/>
      <c r="D53" s="42"/>
      <c r="E53" s="42">
        <f>E41*5%</f>
        <v>1242806.5</v>
      </c>
      <c r="F53" s="42">
        <f aca="true" t="shared" si="29" ref="F53:N53">F41*5%</f>
        <v>1315863.75</v>
      </c>
      <c r="G53" s="42">
        <f t="shared" si="29"/>
        <v>1143180.8</v>
      </c>
      <c r="H53" s="42">
        <f t="shared" si="29"/>
        <v>912811.15</v>
      </c>
      <c r="I53" s="42">
        <f t="shared" si="29"/>
        <v>617968</v>
      </c>
      <c r="J53" s="42">
        <f t="shared" si="29"/>
        <v>342543.45</v>
      </c>
      <c r="K53" s="42">
        <f t="shared" si="29"/>
        <v>142543.45</v>
      </c>
      <c r="L53" s="42">
        <f t="shared" si="29"/>
        <v>0</v>
      </c>
      <c r="M53" s="42">
        <f t="shared" si="29"/>
        <v>0</v>
      </c>
      <c r="N53" s="104">
        <f t="shared" si="29"/>
        <v>12008.1</v>
      </c>
    </row>
    <row r="54" spans="1:13" ht="12.75">
      <c r="A54" s="48"/>
      <c r="D54" s="42"/>
      <c r="E54" s="42"/>
      <c r="F54" s="73"/>
      <c r="G54" s="48"/>
      <c r="H54" s="42"/>
      <c r="I54" s="42"/>
      <c r="J54" s="42"/>
      <c r="K54" s="42"/>
      <c r="L54" s="73"/>
      <c r="M54" s="48"/>
    </row>
    <row r="55" spans="1:13" ht="12.75">
      <c r="A55" s="48"/>
      <c r="D55" s="42"/>
      <c r="E55" s="42"/>
      <c r="F55" s="73"/>
      <c r="G55" s="48"/>
      <c r="H55" s="42"/>
      <c r="I55" s="42"/>
      <c r="J55" s="42"/>
      <c r="K55" s="42"/>
      <c r="L55" s="73"/>
      <c r="M55" s="48"/>
    </row>
    <row r="56" spans="1:13" ht="12.75">
      <c r="A56" s="48"/>
      <c r="D56" s="42"/>
      <c r="E56" s="42"/>
      <c r="F56" s="73"/>
      <c r="G56" s="48"/>
      <c r="H56" s="42"/>
      <c r="I56" s="42"/>
      <c r="J56" s="42"/>
      <c r="K56" s="42"/>
      <c r="L56" s="73"/>
      <c r="M56" s="48"/>
    </row>
    <row r="57" spans="4:13" ht="12.75">
      <c r="D57" s="42"/>
      <c r="E57" s="42"/>
      <c r="F57" s="73"/>
      <c r="G57" s="42"/>
      <c r="H57" s="42"/>
      <c r="I57" s="42"/>
      <c r="J57" s="42"/>
      <c r="K57" s="42"/>
      <c r="L57" s="73"/>
      <c r="M57" s="42"/>
    </row>
    <row r="58" spans="4:13" ht="12.75">
      <c r="D58" s="42"/>
      <c r="E58" s="42"/>
      <c r="F58" s="73"/>
      <c r="G58" s="42"/>
      <c r="H58" s="42"/>
      <c r="I58" s="42"/>
      <c r="J58" s="42"/>
      <c r="K58" s="42"/>
      <c r="L58" s="73"/>
      <c r="M58" s="42"/>
    </row>
    <row r="59" spans="4:13" ht="12.75">
      <c r="D59" s="42"/>
      <c r="E59" s="42"/>
      <c r="F59" s="73"/>
      <c r="G59" s="42"/>
      <c r="H59" s="42"/>
      <c r="I59" s="42"/>
      <c r="J59" s="42"/>
      <c r="K59" s="42"/>
      <c r="L59" s="73"/>
      <c r="M59" s="42"/>
    </row>
    <row r="60" spans="4:13" ht="12.75">
      <c r="D60" s="42"/>
      <c r="E60" s="42"/>
      <c r="F60" s="73"/>
      <c r="G60" s="42"/>
      <c r="H60" s="42"/>
      <c r="I60" s="42"/>
      <c r="J60" s="42"/>
      <c r="K60" s="42"/>
      <c r="L60" s="73"/>
      <c r="M60" s="42"/>
    </row>
    <row r="61" spans="4:13" ht="12.75">
      <c r="D61" s="42"/>
      <c r="E61" s="42"/>
      <c r="F61" s="73"/>
      <c r="G61" s="42"/>
      <c r="H61" s="42"/>
      <c r="I61" s="42"/>
      <c r="J61" s="42"/>
      <c r="K61" s="42"/>
      <c r="L61" s="73"/>
      <c r="M61" s="42"/>
    </row>
    <row r="62" spans="4:13" ht="12.75"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4:13" ht="12.75"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4:13" ht="12.75"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4:13" ht="12.75"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4:13" ht="12.75"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4:13" ht="12.75"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4:13" ht="12.75"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4:13" ht="12.75"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4:13" ht="12.75"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4:13" ht="12.75"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4:13" ht="12.75"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4:13" ht="12.75"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4:13" ht="12.75"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4:13" ht="12.75"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4:13" ht="12.75">
      <c r="D76" s="42"/>
      <c r="E76" s="42"/>
      <c r="F76" s="42"/>
      <c r="G76" s="42"/>
      <c r="H76" s="42"/>
      <c r="I76" s="42"/>
      <c r="J76" s="42"/>
      <c r="K76" s="42"/>
      <c r="L76" s="42"/>
      <c r="M76" s="42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Q32"/>
  <sheetViews>
    <sheetView zoomScale="80" zoomScaleNormal="80" workbookViewId="0" topLeftCell="A1">
      <selection activeCell="J15" sqref="J15:J17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2.25390625" style="42" customWidth="1"/>
    <col min="6" max="6" width="11.625" style="42" hidden="1" customWidth="1"/>
    <col min="7" max="7" width="12.125" style="42" hidden="1" customWidth="1"/>
    <col min="8" max="8" width="14.125" style="46" customWidth="1"/>
    <col min="9" max="9" width="11.125" style="42" customWidth="1"/>
    <col min="10" max="10" width="9.625" style="42" customWidth="1"/>
    <col min="11" max="11" width="2.875" style="42" customWidth="1"/>
    <col min="12" max="12" width="11.375" style="42" customWidth="1"/>
    <col min="13" max="13" width="14.375" style="42" customWidth="1"/>
    <col min="14" max="14" width="10.00390625" style="42" hidden="1" customWidth="1"/>
    <col min="15" max="15" width="12.00390625" style="42" customWidth="1"/>
    <col min="16" max="16" width="12.375" style="42" customWidth="1"/>
    <col min="17" max="17" width="13.00390625" style="42" customWidth="1"/>
    <col min="18" max="16384" width="9.125" style="42" customWidth="1"/>
  </cols>
  <sheetData>
    <row r="1" spans="13:17" ht="16.5" customHeight="1">
      <c r="M1" s="44"/>
      <c r="N1" s="44"/>
      <c r="O1" s="44"/>
      <c r="P1" s="44"/>
      <c r="Q1" s="373" t="s">
        <v>236</v>
      </c>
    </row>
    <row r="2" spans="13:17" ht="15" customHeight="1">
      <c r="M2" s="43"/>
      <c r="N2" s="43"/>
      <c r="O2" s="43"/>
      <c r="P2" s="43"/>
      <c r="Q2" s="43" t="s">
        <v>195</v>
      </c>
    </row>
    <row r="3" spans="13:17" ht="12" customHeight="1">
      <c r="M3" s="43"/>
      <c r="N3" s="43"/>
      <c r="O3" s="43"/>
      <c r="P3" s="43"/>
      <c r="Q3" s="43" t="s">
        <v>194</v>
      </c>
    </row>
    <row r="4" spans="14:16" ht="3.75" customHeight="1">
      <c r="N4" s="17"/>
      <c r="O4" s="17"/>
      <c r="P4" s="24"/>
    </row>
    <row r="5" spans="14:16" ht="1.5" customHeight="1">
      <c r="N5" s="17"/>
      <c r="O5" s="17"/>
      <c r="P5" s="24"/>
    </row>
    <row r="6" spans="14:16" ht="16.5" customHeight="1" hidden="1">
      <c r="N6" s="17"/>
      <c r="O6" s="17"/>
      <c r="P6" s="24"/>
    </row>
    <row r="7" spans="1:17" s="53" customFormat="1" ht="3" customHeight="1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</row>
    <row r="8" spans="1:17" s="53" customFormat="1" ht="15" customHeight="1">
      <c r="A8" s="561" t="s">
        <v>335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</row>
    <row r="9" ht="12" customHeight="1">
      <c r="Q9" s="54" t="s">
        <v>120</v>
      </c>
    </row>
    <row r="10" spans="1:17" ht="12.75">
      <c r="A10" s="594" t="s">
        <v>57</v>
      </c>
      <c r="B10" s="594" t="s">
        <v>61</v>
      </c>
      <c r="C10" s="594" t="s">
        <v>529</v>
      </c>
      <c r="D10" s="594" t="s">
        <v>212</v>
      </c>
      <c r="E10" s="594" t="s">
        <v>530</v>
      </c>
      <c r="F10" s="594" t="s">
        <v>213</v>
      </c>
      <c r="G10" s="594" t="s">
        <v>214</v>
      </c>
      <c r="H10" s="564" t="s">
        <v>537</v>
      </c>
      <c r="I10" s="565"/>
      <c r="J10" s="565"/>
      <c r="K10" s="565"/>
      <c r="L10" s="565"/>
      <c r="M10" s="565"/>
      <c r="N10" s="565"/>
      <c r="O10" s="565"/>
      <c r="P10" s="565"/>
      <c r="Q10" s="594" t="s">
        <v>217</v>
      </c>
    </row>
    <row r="11" spans="1:17" ht="12.75">
      <c r="A11" s="562"/>
      <c r="B11" s="562"/>
      <c r="C11" s="562"/>
      <c r="D11" s="563"/>
      <c r="E11" s="562"/>
      <c r="F11" s="562"/>
      <c r="G11" s="562"/>
      <c r="H11" s="594" t="s">
        <v>314</v>
      </c>
      <c r="I11" s="594" t="s">
        <v>538</v>
      </c>
      <c r="J11" s="566"/>
      <c r="K11" s="566"/>
      <c r="L11" s="566"/>
      <c r="M11" s="566"/>
      <c r="N11" s="594" t="s">
        <v>218</v>
      </c>
      <c r="O11" s="594" t="s">
        <v>528</v>
      </c>
      <c r="P11" s="594" t="s">
        <v>315</v>
      </c>
      <c r="Q11" s="563"/>
    </row>
    <row r="12" spans="1:17" ht="33" customHeight="1">
      <c r="A12" s="562"/>
      <c r="B12" s="562"/>
      <c r="C12" s="562"/>
      <c r="D12" s="563"/>
      <c r="E12" s="562"/>
      <c r="F12" s="562"/>
      <c r="G12" s="562"/>
      <c r="H12" s="594"/>
      <c r="I12" s="149" t="s">
        <v>534</v>
      </c>
      <c r="J12" s="149" t="s">
        <v>219</v>
      </c>
      <c r="K12" s="567" t="s">
        <v>535</v>
      </c>
      <c r="L12" s="568"/>
      <c r="M12" s="149" t="s">
        <v>536</v>
      </c>
      <c r="N12" s="594"/>
      <c r="O12" s="594"/>
      <c r="P12" s="594"/>
      <c r="Q12" s="563"/>
    </row>
    <row r="13" spans="1:17" ht="12.75">
      <c r="A13" s="72" t="s">
        <v>67</v>
      </c>
      <c r="B13" s="72" t="s">
        <v>68</v>
      </c>
      <c r="C13" s="72" t="s">
        <v>69</v>
      </c>
      <c r="D13" s="72" t="s">
        <v>56</v>
      </c>
      <c r="E13" s="72" t="s">
        <v>56</v>
      </c>
      <c r="F13" s="72" t="s">
        <v>74</v>
      </c>
      <c r="G13" s="72" t="s">
        <v>78</v>
      </c>
      <c r="H13" s="72" t="s">
        <v>74</v>
      </c>
      <c r="I13" s="72" t="s">
        <v>78</v>
      </c>
      <c r="J13" s="72" t="s">
        <v>86</v>
      </c>
      <c r="K13" s="569" t="s">
        <v>89</v>
      </c>
      <c r="L13" s="570"/>
      <c r="M13" s="72" t="s">
        <v>156</v>
      </c>
      <c r="N13" s="72" t="s">
        <v>158</v>
      </c>
      <c r="O13" s="72" t="s">
        <v>158</v>
      </c>
      <c r="P13" s="72" t="s">
        <v>531</v>
      </c>
      <c r="Q13" s="72" t="s">
        <v>532</v>
      </c>
    </row>
    <row r="14" spans="1:17" ht="15">
      <c r="A14" s="192">
        <v>600</v>
      </c>
      <c r="B14" s="192">
        <v>60014</v>
      </c>
      <c r="C14" s="25" t="s">
        <v>167</v>
      </c>
      <c r="D14" s="174"/>
      <c r="E14" s="193">
        <f>SUM(E15:E26)</f>
        <v>32725298</v>
      </c>
      <c r="F14" s="193">
        <f>SUM(F21:F26)</f>
        <v>0</v>
      </c>
      <c r="G14" s="193">
        <f>SUM(G21:G26)</f>
        <v>0</v>
      </c>
      <c r="H14" s="193">
        <f>SUM(H15:H26)</f>
        <v>395170</v>
      </c>
      <c r="I14" s="193">
        <f>SUM(I21:I26)</f>
        <v>70108</v>
      </c>
      <c r="J14" s="193">
        <f>SUM(J15:J26)</f>
        <v>315260</v>
      </c>
      <c r="K14" s="571">
        <f>SUM(L24:L26)</f>
        <v>9802</v>
      </c>
      <c r="L14" s="572"/>
      <c r="M14" s="193">
        <f>SUM(M24:M26)</f>
        <v>0</v>
      </c>
      <c r="N14" s="193">
        <f>SUM(N21:N23)</f>
        <v>0</v>
      </c>
      <c r="O14" s="193">
        <f>SUM(O15:O26)</f>
        <v>12167638</v>
      </c>
      <c r="P14" s="193">
        <f>SUM(P15:P26)</f>
        <v>2765000</v>
      </c>
      <c r="Q14" s="25"/>
    </row>
    <row r="15" spans="1:17" ht="12.75">
      <c r="A15" s="418"/>
      <c r="B15" s="198"/>
      <c r="C15" s="555" t="s">
        <v>485</v>
      </c>
      <c r="D15" s="558"/>
      <c r="E15" s="573">
        <v>270000</v>
      </c>
      <c r="F15" s="552"/>
      <c r="G15" s="552"/>
      <c r="H15" s="573">
        <f>SUM(I15:L17)</f>
        <v>74920</v>
      </c>
      <c r="I15" s="573">
        <v>0</v>
      </c>
      <c r="J15" s="549">
        <f>50000+25000-80</f>
        <v>74920</v>
      </c>
      <c r="K15" s="539">
        <v>0</v>
      </c>
      <c r="L15" s="540"/>
      <c r="M15" s="596">
        <v>0</v>
      </c>
      <c r="N15" s="573"/>
      <c r="O15" s="573">
        <v>69833</v>
      </c>
      <c r="P15" s="573">
        <v>0</v>
      </c>
      <c r="Q15" s="576" t="s">
        <v>139</v>
      </c>
    </row>
    <row r="16" spans="1:17" ht="12.75">
      <c r="A16" s="114"/>
      <c r="B16" s="115"/>
      <c r="C16" s="556"/>
      <c r="D16" s="544"/>
      <c r="E16" s="574"/>
      <c r="F16" s="553"/>
      <c r="G16" s="553"/>
      <c r="H16" s="574"/>
      <c r="I16" s="574"/>
      <c r="J16" s="550"/>
      <c r="K16" s="541"/>
      <c r="L16" s="542"/>
      <c r="M16" s="597"/>
      <c r="N16" s="574"/>
      <c r="O16" s="574"/>
      <c r="P16" s="574"/>
      <c r="Q16" s="559"/>
    </row>
    <row r="17" spans="1:17" ht="27" customHeight="1">
      <c r="A17" s="114"/>
      <c r="B17" s="115"/>
      <c r="C17" s="557"/>
      <c r="D17" s="545"/>
      <c r="E17" s="575"/>
      <c r="F17" s="554"/>
      <c r="G17" s="554"/>
      <c r="H17" s="575"/>
      <c r="I17" s="575"/>
      <c r="J17" s="551"/>
      <c r="K17" s="543"/>
      <c r="L17" s="595"/>
      <c r="M17" s="598"/>
      <c r="N17" s="575"/>
      <c r="O17" s="575"/>
      <c r="P17" s="575"/>
      <c r="Q17" s="559"/>
    </row>
    <row r="18" spans="1:17" ht="12.75">
      <c r="A18" s="114"/>
      <c r="B18" s="115"/>
      <c r="C18" s="555" t="s">
        <v>340</v>
      </c>
      <c r="D18" s="558"/>
      <c r="E18" s="573">
        <v>2890720</v>
      </c>
      <c r="F18" s="546"/>
      <c r="G18" s="546"/>
      <c r="H18" s="573">
        <f>SUM(I18:L20)</f>
        <v>36600</v>
      </c>
      <c r="I18" s="573">
        <v>0</v>
      </c>
      <c r="J18" s="549">
        <f>100000-63400</f>
        <v>36600</v>
      </c>
      <c r="K18" s="539">
        <v>0</v>
      </c>
      <c r="L18" s="540"/>
      <c r="M18" s="596">
        <v>0</v>
      </c>
      <c r="N18" s="573"/>
      <c r="O18" s="573">
        <v>930000</v>
      </c>
      <c r="P18" s="573">
        <v>930000</v>
      </c>
      <c r="Q18" s="559"/>
    </row>
    <row r="19" spans="1:17" ht="12.75">
      <c r="A19" s="114"/>
      <c r="B19" s="115"/>
      <c r="C19" s="556"/>
      <c r="D19" s="544"/>
      <c r="E19" s="574"/>
      <c r="F19" s="547"/>
      <c r="G19" s="547"/>
      <c r="H19" s="574"/>
      <c r="I19" s="574"/>
      <c r="J19" s="550"/>
      <c r="K19" s="541"/>
      <c r="L19" s="542"/>
      <c r="M19" s="597"/>
      <c r="N19" s="574"/>
      <c r="O19" s="574"/>
      <c r="P19" s="574"/>
      <c r="Q19" s="559"/>
    </row>
    <row r="20" spans="1:17" ht="12.75" customHeight="1">
      <c r="A20" s="114"/>
      <c r="B20" s="115"/>
      <c r="C20" s="557"/>
      <c r="D20" s="545"/>
      <c r="E20" s="575"/>
      <c r="F20" s="548"/>
      <c r="G20" s="548"/>
      <c r="H20" s="575"/>
      <c r="I20" s="575"/>
      <c r="J20" s="551"/>
      <c r="K20" s="543"/>
      <c r="L20" s="595"/>
      <c r="M20" s="598"/>
      <c r="N20" s="575"/>
      <c r="O20" s="575"/>
      <c r="P20" s="575"/>
      <c r="Q20" s="559"/>
    </row>
    <row r="21" spans="1:17" ht="12.75">
      <c r="A21" s="114"/>
      <c r="B21" s="115"/>
      <c r="C21" s="555" t="s">
        <v>309</v>
      </c>
      <c r="D21" s="604"/>
      <c r="E21" s="573">
        <v>15067412</v>
      </c>
      <c r="F21" s="552"/>
      <c r="G21" s="552"/>
      <c r="H21" s="573">
        <f>SUM(J21)</f>
        <v>203740</v>
      </c>
      <c r="I21" s="573">
        <v>0</v>
      </c>
      <c r="J21" s="549">
        <f>388500-184760</f>
        <v>203740</v>
      </c>
      <c r="K21" s="539">
        <v>0</v>
      </c>
      <c r="L21" s="540"/>
      <c r="M21" s="596">
        <v>0</v>
      </c>
      <c r="N21" s="573"/>
      <c r="O21" s="573">
        <v>0</v>
      </c>
      <c r="P21" s="573">
        <v>1835000</v>
      </c>
      <c r="Q21" s="559"/>
    </row>
    <row r="22" spans="1:17" ht="12.75">
      <c r="A22" s="114"/>
      <c r="B22" s="115"/>
      <c r="C22" s="556"/>
      <c r="D22" s="605"/>
      <c r="E22" s="574"/>
      <c r="F22" s="553"/>
      <c r="G22" s="553"/>
      <c r="H22" s="574"/>
      <c r="I22" s="574"/>
      <c r="J22" s="550"/>
      <c r="K22" s="541"/>
      <c r="L22" s="542"/>
      <c r="M22" s="597"/>
      <c r="N22" s="574"/>
      <c r="O22" s="574"/>
      <c r="P22" s="574"/>
      <c r="Q22" s="559"/>
    </row>
    <row r="23" spans="1:17" ht="24.75" customHeight="1">
      <c r="A23" s="114"/>
      <c r="B23" s="115"/>
      <c r="C23" s="557"/>
      <c r="D23" s="606"/>
      <c r="E23" s="575"/>
      <c r="F23" s="554"/>
      <c r="G23" s="554"/>
      <c r="H23" s="575"/>
      <c r="I23" s="575"/>
      <c r="J23" s="551"/>
      <c r="K23" s="543"/>
      <c r="L23" s="595"/>
      <c r="M23" s="598"/>
      <c r="N23" s="575"/>
      <c r="O23" s="575"/>
      <c r="P23" s="575"/>
      <c r="Q23" s="559"/>
    </row>
    <row r="24" spans="1:17" ht="38.25">
      <c r="A24" s="114"/>
      <c r="B24" s="115"/>
      <c r="C24" s="194" t="s">
        <v>313</v>
      </c>
      <c r="D24" s="432"/>
      <c r="E24" s="460">
        <v>5552030</v>
      </c>
      <c r="F24" s="148"/>
      <c r="G24" s="148"/>
      <c r="H24" s="195">
        <f>SUM(I24,L24,M24)</f>
        <v>28670</v>
      </c>
      <c r="I24" s="189">
        <f>300000-271330</f>
        <v>28670</v>
      </c>
      <c r="J24" s="189">
        <v>0</v>
      </c>
      <c r="K24" s="363" t="s">
        <v>306</v>
      </c>
      <c r="L24" s="363">
        <v>0</v>
      </c>
      <c r="M24" s="457">
        <v>0</v>
      </c>
      <c r="N24" s="195"/>
      <c r="O24" s="195">
        <v>2825164</v>
      </c>
      <c r="P24" s="195">
        <v>0</v>
      </c>
      <c r="Q24" s="559"/>
    </row>
    <row r="25" spans="1:17" ht="52.5" customHeight="1">
      <c r="A25" s="114"/>
      <c r="B25" s="115"/>
      <c r="C25" s="428" t="s">
        <v>466</v>
      </c>
      <c r="D25" s="433"/>
      <c r="E25" s="461">
        <v>4223547</v>
      </c>
      <c r="F25" s="434"/>
      <c r="G25" s="434"/>
      <c r="H25" s="195">
        <f>SUM(I25,L25,M25)</f>
        <v>40260</v>
      </c>
      <c r="I25" s="200">
        <f>54800-14540</f>
        <v>40260</v>
      </c>
      <c r="J25" s="200">
        <v>0</v>
      </c>
      <c r="K25" s="363" t="s">
        <v>306</v>
      </c>
      <c r="L25" s="363">
        <v>0</v>
      </c>
      <c r="M25" s="458">
        <v>0</v>
      </c>
      <c r="N25" s="363"/>
      <c r="O25" s="363">
        <v>3675552</v>
      </c>
      <c r="P25" s="363">
        <v>0</v>
      </c>
      <c r="Q25" s="559"/>
    </row>
    <row r="26" spans="1:17" ht="40.5" customHeight="1">
      <c r="A26" s="417"/>
      <c r="B26" s="199"/>
      <c r="C26" s="194" t="s">
        <v>464</v>
      </c>
      <c r="D26" s="432"/>
      <c r="E26" s="460">
        <v>4721589</v>
      </c>
      <c r="F26" s="148"/>
      <c r="G26" s="148"/>
      <c r="H26" s="195">
        <f>SUM(I26,L26,M26)</f>
        <v>10980</v>
      </c>
      <c r="I26" s="189">
        <f>4901-3723</f>
        <v>1178</v>
      </c>
      <c r="J26" s="189">
        <v>0</v>
      </c>
      <c r="K26" s="459" t="s">
        <v>306</v>
      </c>
      <c r="L26" s="459">
        <v>9802</v>
      </c>
      <c r="M26" s="457">
        <v>0</v>
      </c>
      <c r="N26" s="195"/>
      <c r="O26" s="195">
        <v>4667089</v>
      </c>
      <c r="P26" s="195">
        <v>0</v>
      </c>
      <c r="Q26" s="560"/>
    </row>
    <row r="27" spans="1:17" s="516" customFormat="1" ht="21" customHeight="1">
      <c r="A27" s="517">
        <v>801</v>
      </c>
      <c r="B27" s="518">
        <v>80130</v>
      </c>
      <c r="C27" s="519" t="s">
        <v>196</v>
      </c>
      <c r="D27" s="515"/>
      <c r="E27" s="527">
        <f aca="true" t="shared" si="0" ref="E27:J27">SUM(E28)</f>
        <v>3800000</v>
      </c>
      <c r="F27" s="527">
        <f t="shared" si="0"/>
        <v>0</v>
      </c>
      <c r="G27" s="527">
        <f t="shared" si="0"/>
        <v>0</v>
      </c>
      <c r="H27" s="527">
        <f t="shared" si="0"/>
        <v>868998</v>
      </c>
      <c r="I27" s="527">
        <f t="shared" si="0"/>
        <v>868998</v>
      </c>
      <c r="J27" s="527">
        <f t="shared" si="0"/>
        <v>0</v>
      </c>
      <c r="K27" s="528"/>
      <c r="L27" s="528">
        <f>SUM(L28)</f>
        <v>0</v>
      </c>
      <c r="M27" s="528">
        <f>SUM(M28)</f>
        <v>0</v>
      </c>
      <c r="N27" s="528">
        <f>SUM(N28)</f>
        <v>0</v>
      </c>
      <c r="O27" s="528">
        <f>SUM(O28)</f>
        <v>1500000</v>
      </c>
      <c r="P27" s="528">
        <f>SUM(P28)</f>
        <v>1431002</v>
      </c>
      <c r="Q27" s="578" t="s">
        <v>216</v>
      </c>
    </row>
    <row r="28" spans="1:17" s="514" customFormat="1" ht="51">
      <c r="A28" s="520"/>
      <c r="B28" s="521"/>
      <c r="C28" s="522" t="s">
        <v>215</v>
      </c>
      <c r="D28" s="523"/>
      <c r="E28" s="524">
        <v>3800000</v>
      </c>
      <c r="F28" s="525"/>
      <c r="G28" s="525"/>
      <c r="H28" s="526">
        <f>SUM(I28)</f>
        <v>868998</v>
      </c>
      <c r="I28" s="526">
        <v>868998</v>
      </c>
      <c r="J28" s="526">
        <v>0</v>
      </c>
      <c r="K28" s="526"/>
      <c r="L28" s="526">
        <v>0</v>
      </c>
      <c r="M28" s="526">
        <v>0</v>
      </c>
      <c r="N28" s="526"/>
      <c r="O28" s="526">
        <v>1500000</v>
      </c>
      <c r="P28" s="526">
        <v>1431002</v>
      </c>
      <c r="Q28" s="579"/>
    </row>
    <row r="29" spans="1:17" ht="15">
      <c r="A29" s="599" t="s">
        <v>31</v>
      </c>
      <c r="B29" s="600"/>
      <c r="C29" s="600"/>
      <c r="D29" s="601"/>
      <c r="E29" s="196">
        <f aca="true" t="shared" si="1" ref="E29:J29">SUM(E14,E27)</f>
        <v>36525298</v>
      </c>
      <c r="F29" s="196">
        <f t="shared" si="1"/>
        <v>0</v>
      </c>
      <c r="G29" s="196">
        <f t="shared" si="1"/>
        <v>0</v>
      </c>
      <c r="H29" s="196">
        <f t="shared" si="1"/>
        <v>1264168</v>
      </c>
      <c r="I29" s="196">
        <f t="shared" si="1"/>
        <v>939106</v>
      </c>
      <c r="J29" s="196">
        <f t="shared" si="1"/>
        <v>315260</v>
      </c>
      <c r="K29" s="602">
        <f>SUM(K14,L27)</f>
        <v>9802</v>
      </c>
      <c r="L29" s="603"/>
      <c r="M29" s="196">
        <f>SUM(M14,M27)</f>
        <v>0</v>
      </c>
      <c r="N29" s="196">
        <f>SUM(N14)</f>
        <v>0</v>
      </c>
      <c r="O29" s="196">
        <f>SUM(O14,O27)</f>
        <v>13667638</v>
      </c>
      <c r="P29" s="196">
        <f>SUM(P14,P27)</f>
        <v>4196002</v>
      </c>
      <c r="Q29" s="197" t="s">
        <v>235</v>
      </c>
    </row>
    <row r="30" spans="1:17" ht="15" customHeight="1">
      <c r="A30" s="607" t="s">
        <v>542</v>
      </c>
      <c r="B30" s="608"/>
      <c r="C30" s="608"/>
      <c r="D30" s="609"/>
      <c r="E30" s="196">
        <f aca="true" t="shared" si="2" ref="E30:J30">SUM(E29)</f>
        <v>36525298</v>
      </c>
      <c r="F30" s="196">
        <f t="shared" si="2"/>
        <v>0</v>
      </c>
      <c r="G30" s="196">
        <f t="shared" si="2"/>
        <v>0</v>
      </c>
      <c r="H30" s="196">
        <f t="shared" si="2"/>
        <v>1264168</v>
      </c>
      <c r="I30" s="196">
        <f t="shared" si="2"/>
        <v>939106</v>
      </c>
      <c r="J30" s="196">
        <f t="shared" si="2"/>
        <v>315260</v>
      </c>
      <c r="K30" s="602">
        <f>SUM(K29)</f>
        <v>9802</v>
      </c>
      <c r="L30" s="603"/>
      <c r="M30" s="196">
        <f>SUM(M29)</f>
        <v>0</v>
      </c>
      <c r="N30" s="196">
        <f>SUM(N29)</f>
        <v>0</v>
      </c>
      <c r="O30" s="196">
        <f>SUM(O29)</f>
        <v>13667638</v>
      </c>
      <c r="P30" s="196">
        <f>SUM(P29)</f>
        <v>4196002</v>
      </c>
      <c r="Q30" s="197" t="s">
        <v>235</v>
      </c>
    </row>
    <row r="31" ht="5.25" customHeight="1"/>
    <row r="32" ht="12.75">
      <c r="A32" s="42" t="s">
        <v>305</v>
      </c>
    </row>
  </sheetData>
  <mergeCells count="64">
    <mergeCell ref="A30:D30"/>
    <mergeCell ref="K30:L30"/>
    <mergeCell ref="C15:C17"/>
    <mergeCell ref="D15:D17"/>
    <mergeCell ref="E15:E17"/>
    <mergeCell ref="F15:F17"/>
    <mergeCell ref="G15:G17"/>
    <mergeCell ref="H15:H17"/>
    <mergeCell ref="I15:I17"/>
    <mergeCell ref="J15:J17"/>
    <mergeCell ref="N15:N17"/>
    <mergeCell ref="O15:O17"/>
    <mergeCell ref="P15:P17"/>
    <mergeCell ref="K21:L23"/>
    <mergeCell ref="M21:M23"/>
    <mergeCell ref="N18:N20"/>
    <mergeCell ref="N21:N23"/>
    <mergeCell ref="A29:D29"/>
    <mergeCell ref="K29:L29"/>
    <mergeCell ref="K15:L17"/>
    <mergeCell ref="M15:M17"/>
    <mergeCell ref="G21:G23"/>
    <mergeCell ref="H21:H23"/>
    <mergeCell ref="I21:I23"/>
    <mergeCell ref="J21:J23"/>
    <mergeCell ref="C21:C23"/>
    <mergeCell ref="D21:D23"/>
    <mergeCell ref="E21:E23"/>
    <mergeCell ref="F21:F23"/>
    <mergeCell ref="K18:L20"/>
    <mergeCell ref="M18:M20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27:Q28"/>
    <mergeCell ref="O18:O20"/>
    <mergeCell ref="P18:P20"/>
    <mergeCell ref="Q15:Q26"/>
    <mergeCell ref="O21:O23"/>
    <mergeCell ref="P21:P23"/>
  </mergeCells>
  <printOptions/>
  <pageMargins left="0.47" right="0.16" top="0.66" bottom="0.45" header="0.16" footer="0.17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O69"/>
  <sheetViews>
    <sheetView workbookViewId="0" topLeftCell="A1">
      <selection activeCell="I22" sqref="I22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0.75390625" style="42" customWidth="1"/>
    <col min="6" max="6" width="11.625" style="42" hidden="1" customWidth="1"/>
    <col min="7" max="7" width="12.125" style="42" hidden="1" customWidth="1"/>
    <col min="8" max="8" width="10.25390625" style="46" customWidth="1"/>
    <col min="9" max="10" width="9.625" style="42" customWidth="1"/>
    <col min="11" max="11" width="2.875" style="42" customWidth="1"/>
    <col min="12" max="12" width="11.375" style="42" customWidth="1"/>
    <col min="13" max="13" width="14.375" style="42" customWidth="1"/>
    <col min="14" max="14" width="10.00390625" style="42" hidden="1" customWidth="1"/>
    <col min="15" max="15" width="24.625" style="42" customWidth="1"/>
    <col min="16" max="16384" width="9.125" style="42" customWidth="1"/>
  </cols>
  <sheetData>
    <row r="1" spans="1:15" ht="16.5" customHeight="1">
      <c r="A1" s="71"/>
      <c r="M1" s="44"/>
      <c r="N1" s="44"/>
      <c r="O1" s="373" t="s">
        <v>204</v>
      </c>
    </row>
    <row r="2" spans="13:15" ht="15" customHeight="1">
      <c r="M2" s="43"/>
      <c r="N2" s="43"/>
      <c r="O2" s="43" t="s">
        <v>323</v>
      </c>
    </row>
    <row r="3" spans="13:15" ht="12" customHeight="1">
      <c r="M3" s="43"/>
      <c r="N3" s="43"/>
      <c r="O3" s="43" t="s">
        <v>194</v>
      </c>
    </row>
    <row r="4" ht="3.75" customHeight="1">
      <c r="N4" s="17"/>
    </row>
    <row r="5" ht="1.5" customHeight="1">
      <c r="N5" s="17"/>
    </row>
    <row r="6" ht="16.5" customHeight="1" hidden="1">
      <c r="N6" s="17"/>
    </row>
    <row r="7" spans="1:15" s="53" customFormat="1" ht="5.25" customHeight="1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</row>
    <row r="8" spans="1:15" s="53" customFormat="1" ht="17.25" customHeight="1">
      <c r="A8" s="561" t="s">
        <v>352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</row>
    <row r="9" ht="13.5" customHeight="1">
      <c r="O9" s="54" t="s">
        <v>120</v>
      </c>
    </row>
    <row r="10" spans="1:15" s="26" customFormat="1" ht="12.75">
      <c r="A10" s="623" t="s">
        <v>57</v>
      </c>
      <c r="B10" s="623" t="s">
        <v>61</v>
      </c>
      <c r="C10" s="623" t="s">
        <v>336</v>
      </c>
      <c r="D10" s="623" t="s">
        <v>212</v>
      </c>
      <c r="E10" s="623" t="s">
        <v>530</v>
      </c>
      <c r="F10" s="623" t="s">
        <v>213</v>
      </c>
      <c r="G10" s="623" t="s">
        <v>214</v>
      </c>
      <c r="H10" s="629" t="s">
        <v>537</v>
      </c>
      <c r="I10" s="630"/>
      <c r="J10" s="630"/>
      <c r="K10" s="630"/>
      <c r="L10" s="630"/>
      <c r="M10" s="630"/>
      <c r="N10" s="630"/>
      <c r="O10" s="623" t="s">
        <v>217</v>
      </c>
    </row>
    <row r="11" spans="1:15" s="55" customFormat="1" ht="12.75" customHeight="1">
      <c r="A11" s="628"/>
      <c r="B11" s="628"/>
      <c r="C11" s="628"/>
      <c r="D11" s="624"/>
      <c r="E11" s="628"/>
      <c r="F11" s="628"/>
      <c r="G11" s="628"/>
      <c r="H11" s="623" t="s">
        <v>533</v>
      </c>
      <c r="I11" s="623" t="s">
        <v>538</v>
      </c>
      <c r="J11" s="625"/>
      <c r="K11" s="625"/>
      <c r="L11" s="625"/>
      <c r="M11" s="625"/>
      <c r="N11" s="623" t="s">
        <v>218</v>
      </c>
      <c r="O11" s="624"/>
    </row>
    <row r="12" spans="1:15" s="55" customFormat="1" ht="48">
      <c r="A12" s="628"/>
      <c r="B12" s="628"/>
      <c r="C12" s="628"/>
      <c r="D12" s="624"/>
      <c r="E12" s="628"/>
      <c r="F12" s="628"/>
      <c r="G12" s="628"/>
      <c r="H12" s="623"/>
      <c r="I12" s="153" t="s">
        <v>534</v>
      </c>
      <c r="J12" s="153" t="s">
        <v>219</v>
      </c>
      <c r="K12" s="626" t="s">
        <v>285</v>
      </c>
      <c r="L12" s="627"/>
      <c r="M12" s="153" t="s">
        <v>536</v>
      </c>
      <c r="N12" s="623"/>
      <c r="O12" s="624"/>
    </row>
    <row r="13" spans="1:15" s="55" customFormat="1" ht="12.75">
      <c r="A13" s="72" t="s">
        <v>67</v>
      </c>
      <c r="B13" s="72" t="s">
        <v>68</v>
      </c>
      <c r="C13" s="72" t="s">
        <v>69</v>
      </c>
      <c r="D13" s="72" t="s">
        <v>56</v>
      </c>
      <c r="E13" s="72" t="s">
        <v>56</v>
      </c>
      <c r="F13" s="72" t="s">
        <v>74</v>
      </c>
      <c r="G13" s="72" t="s">
        <v>78</v>
      </c>
      <c r="H13" s="72" t="s">
        <v>74</v>
      </c>
      <c r="I13" s="72" t="s">
        <v>78</v>
      </c>
      <c r="J13" s="72" t="s">
        <v>86</v>
      </c>
      <c r="K13" s="569" t="s">
        <v>89</v>
      </c>
      <c r="L13" s="570"/>
      <c r="M13" s="72" t="s">
        <v>156</v>
      </c>
      <c r="N13" s="72" t="s">
        <v>158</v>
      </c>
      <c r="O13" s="72" t="s">
        <v>532</v>
      </c>
    </row>
    <row r="14" spans="1:15" s="47" customFormat="1" ht="12.75">
      <c r="A14" s="442">
        <v>600</v>
      </c>
      <c r="B14" s="442">
        <v>60014</v>
      </c>
      <c r="C14" s="25" t="s">
        <v>167</v>
      </c>
      <c r="D14" s="174"/>
      <c r="E14" s="201">
        <f>SUM(E16:E19)</f>
        <v>1137013</v>
      </c>
      <c r="F14" s="201">
        <f>SUM(F16:F19)</f>
        <v>0</v>
      </c>
      <c r="G14" s="201">
        <f>SUM(G16:G19)</f>
        <v>0</v>
      </c>
      <c r="H14" s="201">
        <f>SUM(H16:H19)</f>
        <v>1137013</v>
      </c>
      <c r="I14" s="201">
        <f>SUM(I15:I15)</f>
        <v>0</v>
      </c>
      <c r="J14" s="201">
        <f>SUM(J16:J19)</f>
        <v>1137013</v>
      </c>
      <c r="K14" s="617">
        <f>SUM(L15:L15)</f>
        <v>0</v>
      </c>
      <c r="L14" s="618"/>
      <c r="M14" s="201">
        <f>SUM(M15:M15)</f>
        <v>0</v>
      </c>
      <c r="N14" s="201">
        <f>SUM(N15:N15)</f>
        <v>0</v>
      </c>
      <c r="O14" s="25"/>
    </row>
    <row r="15" spans="1:15" s="47" customFormat="1" ht="7.5" customHeight="1" hidden="1">
      <c r="A15" s="86"/>
      <c r="B15" s="56"/>
      <c r="C15" s="364"/>
      <c r="D15" s="187"/>
      <c r="E15" s="365"/>
      <c r="F15" s="365"/>
      <c r="G15" s="365"/>
      <c r="H15" s="365"/>
      <c r="I15" s="365"/>
      <c r="J15" s="365"/>
      <c r="K15" s="619"/>
      <c r="L15" s="620"/>
      <c r="M15" s="366"/>
      <c r="N15" s="365"/>
      <c r="O15" s="576" t="s">
        <v>486</v>
      </c>
    </row>
    <row r="16" spans="1:15" s="47" customFormat="1" ht="45">
      <c r="A16" s="86"/>
      <c r="B16" s="56"/>
      <c r="C16" s="452" t="s">
        <v>489</v>
      </c>
      <c r="D16" s="187"/>
      <c r="E16" s="356">
        <v>949613</v>
      </c>
      <c r="F16" s="356"/>
      <c r="G16" s="356"/>
      <c r="H16" s="356">
        <v>949613</v>
      </c>
      <c r="I16" s="356">
        <v>0</v>
      </c>
      <c r="J16" s="356">
        <f>950000-387</f>
        <v>949613</v>
      </c>
      <c r="K16" s="610">
        <v>0</v>
      </c>
      <c r="L16" s="611"/>
      <c r="M16" s="453">
        <v>0</v>
      </c>
      <c r="N16" s="365"/>
      <c r="O16" s="559"/>
    </row>
    <row r="17" spans="1:15" s="47" customFormat="1" ht="24" customHeight="1">
      <c r="A17" s="86"/>
      <c r="B17" s="56"/>
      <c r="C17" s="452" t="s">
        <v>488</v>
      </c>
      <c r="D17" s="187"/>
      <c r="E17" s="356">
        <v>24400</v>
      </c>
      <c r="F17" s="356"/>
      <c r="G17" s="356"/>
      <c r="H17" s="356">
        <v>24400</v>
      </c>
      <c r="I17" s="356">
        <v>0</v>
      </c>
      <c r="J17" s="356">
        <v>24400</v>
      </c>
      <c r="K17" s="610">
        <v>0</v>
      </c>
      <c r="L17" s="611"/>
      <c r="M17" s="456">
        <v>0</v>
      </c>
      <c r="N17" s="365"/>
      <c r="O17" s="559"/>
    </row>
    <row r="18" spans="1:15" s="47" customFormat="1" ht="12.75">
      <c r="A18" s="86"/>
      <c r="B18" s="56"/>
      <c r="C18" s="452" t="s">
        <v>150</v>
      </c>
      <c r="D18" s="187"/>
      <c r="E18" s="356">
        <v>141000</v>
      </c>
      <c r="F18" s="356"/>
      <c r="G18" s="356"/>
      <c r="H18" s="356">
        <v>141000</v>
      </c>
      <c r="I18" s="356">
        <v>0</v>
      </c>
      <c r="J18" s="356">
        <v>141000</v>
      </c>
      <c r="K18" s="610">
        <v>0</v>
      </c>
      <c r="L18" s="611"/>
      <c r="M18" s="456">
        <v>0</v>
      </c>
      <c r="N18" s="365"/>
      <c r="O18" s="559"/>
    </row>
    <row r="19" spans="1:15" s="47" customFormat="1" ht="12.75">
      <c r="A19" s="86"/>
      <c r="B19" s="56"/>
      <c r="C19" s="452" t="s">
        <v>151</v>
      </c>
      <c r="D19" s="187"/>
      <c r="E19" s="356">
        <v>22000</v>
      </c>
      <c r="F19" s="356"/>
      <c r="G19" s="356"/>
      <c r="H19" s="356">
        <v>22000</v>
      </c>
      <c r="I19" s="356">
        <v>0</v>
      </c>
      <c r="J19" s="356">
        <v>22000</v>
      </c>
      <c r="K19" s="501"/>
      <c r="L19" s="512">
        <v>0</v>
      </c>
      <c r="M19" s="456">
        <v>0</v>
      </c>
      <c r="N19" s="365"/>
      <c r="O19" s="560"/>
    </row>
    <row r="20" spans="1:15" s="69" customFormat="1" ht="12.75">
      <c r="A20" s="174">
        <v>750</v>
      </c>
      <c r="B20" s="174">
        <v>75020</v>
      </c>
      <c r="C20" s="80" t="s">
        <v>183</v>
      </c>
      <c r="D20" s="174"/>
      <c r="E20" s="201">
        <f aca="true" t="shared" si="0" ref="E20:J20">SUM(E21:E25)</f>
        <v>559700</v>
      </c>
      <c r="F20" s="201">
        <f t="shared" si="0"/>
        <v>0</v>
      </c>
      <c r="G20" s="201">
        <f t="shared" si="0"/>
        <v>0</v>
      </c>
      <c r="H20" s="201">
        <f t="shared" si="0"/>
        <v>559700</v>
      </c>
      <c r="I20" s="201">
        <f t="shared" si="0"/>
        <v>288273</v>
      </c>
      <c r="J20" s="201">
        <f t="shared" si="0"/>
        <v>271427</v>
      </c>
      <c r="K20" s="617">
        <v>0</v>
      </c>
      <c r="L20" s="618"/>
      <c r="M20" s="201">
        <f>SUM(M23:M24)</f>
        <v>0</v>
      </c>
      <c r="N20" s="201">
        <f>SUM(N23:N24)</f>
        <v>0</v>
      </c>
      <c r="O20" s="174"/>
    </row>
    <row r="21" spans="1:15" s="69" customFormat="1" ht="45">
      <c r="A21" s="435"/>
      <c r="B21" s="429"/>
      <c r="C21" s="436" t="s">
        <v>469</v>
      </c>
      <c r="D21" s="174"/>
      <c r="E21" s="437">
        <v>476000</v>
      </c>
      <c r="F21" s="437"/>
      <c r="G21" s="437"/>
      <c r="H21" s="437">
        <f>SUM(I21:J21)</f>
        <v>476000</v>
      </c>
      <c r="I21" s="437">
        <v>204573</v>
      </c>
      <c r="J21" s="437">
        <v>271427</v>
      </c>
      <c r="K21" s="438"/>
      <c r="L21" s="439">
        <v>0</v>
      </c>
      <c r="M21" s="437">
        <v>0</v>
      </c>
      <c r="N21" s="201"/>
      <c r="O21" s="576" t="s">
        <v>230</v>
      </c>
    </row>
    <row r="22" spans="1:15" s="69" customFormat="1" ht="33.75">
      <c r="A22" s="435"/>
      <c r="B22" s="429"/>
      <c r="C22" s="436" t="s">
        <v>470</v>
      </c>
      <c r="D22" s="174"/>
      <c r="E22" s="437">
        <v>25000</v>
      </c>
      <c r="F22" s="437"/>
      <c r="G22" s="437"/>
      <c r="H22" s="437">
        <v>25000</v>
      </c>
      <c r="I22" s="437">
        <v>25000</v>
      </c>
      <c r="J22" s="437">
        <v>0</v>
      </c>
      <c r="K22" s="438"/>
      <c r="L22" s="439">
        <v>0</v>
      </c>
      <c r="M22" s="437">
        <v>0</v>
      </c>
      <c r="N22" s="201"/>
      <c r="O22" s="559"/>
    </row>
    <row r="23" spans="1:15" s="55" customFormat="1" ht="12.75" customHeight="1">
      <c r="A23" s="118"/>
      <c r="B23" s="109"/>
      <c r="C23" s="267" t="s">
        <v>330</v>
      </c>
      <c r="D23" s="268"/>
      <c r="E23" s="269">
        <v>9700</v>
      </c>
      <c r="F23" s="269"/>
      <c r="G23" s="269"/>
      <c r="H23" s="269">
        <v>9700</v>
      </c>
      <c r="I23" s="269">
        <f>7500+2200</f>
        <v>9700</v>
      </c>
      <c r="J23" s="269">
        <v>0</v>
      </c>
      <c r="K23" s="610">
        <v>0</v>
      </c>
      <c r="L23" s="611"/>
      <c r="M23" s="270">
        <v>0</v>
      </c>
      <c r="N23" s="117"/>
      <c r="O23" s="559"/>
    </row>
    <row r="24" spans="1:15" s="55" customFormat="1" ht="15" customHeight="1">
      <c r="A24" s="271"/>
      <c r="B24" s="188"/>
      <c r="C24" s="267" t="s">
        <v>331</v>
      </c>
      <c r="D24" s="268"/>
      <c r="E24" s="269">
        <v>8000</v>
      </c>
      <c r="F24" s="269"/>
      <c r="G24" s="269"/>
      <c r="H24" s="269">
        <v>8000</v>
      </c>
      <c r="I24" s="269">
        <v>8000</v>
      </c>
      <c r="J24" s="269">
        <v>0</v>
      </c>
      <c r="K24" s="610">
        <v>0</v>
      </c>
      <c r="L24" s="611"/>
      <c r="M24" s="270">
        <v>0</v>
      </c>
      <c r="N24" s="269"/>
      <c r="O24" s="559"/>
    </row>
    <row r="25" spans="1:15" s="55" customFormat="1" ht="13.5" customHeight="1">
      <c r="A25" s="118"/>
      <c r="B25" s="109"/>
      <c r="C25" s="267" t="s">
        <v>487</v>
      </c>
      <c r="D25" s="268"/>
      <c r="E25" s="269">
        <v>41000</v>
      </c>
      <c r="F25" s="269"/>
      <c r="G25" s="269"/>
      <c r="H25" s="269">
        <v>41000</v>
      </c>
      <c r="I25" s="269">
        <v>41000</v>
      </c>
      <c r="J25" s="269">
        <v>0</v>
      </c>
      <c r="K25" s="610">
        <v>0</v>
      </c>
      <c r="L25" s="611"/>
      <c r="M25" s="270">
        <v>0</v>
      </c>
      <c r="N25" s="117"/>
      <c r="O25" s="560"/>
    </row>
    <row r="26" spans="1:15" s="55" customFormat="1" ht="28.5" customHeight="1">
      <c r="A26" s="152">
        <v>754</v>
      </c>
      <c r="B26" s="152">
        <v>75411</v>
      </c>
      <c r="C26" s="440" t="s">
        <v>189</v>
      </c>
      <c r="D26" s="268"/>
      <c r="E26" s="354">
        <f>SUM(E27:E41)</f>
        <v>434600</v>
      </c>
      <c r="F26" s="354">
        <f>SUM(F27:F42)</f>
        <v>0</v>
      </c>
      <c r="G26" s="354">
        <f>SUM(G27:G42)</f>
        <v>0</v>
      </c>
      <c r="H26" s="354">
        <f>SUM(H27:H41)</f>
        <v>434600</v>
      </c>
      <c r="I26" s="201">
        <f>SUM(I27:I38)</f>
        <v>0</v>
      </c>
      <c r="J26" s="201">
        <f>SUM(J27)</f>
        <v>0</v>
      </c>
      <c r="K26" s="362" t="s">
        <v>306</v>
      </c>
      <c r="L26" s="354">
        <f>SUM(L27:L42)</f>
        <v>434600</v>
      </c>
      <c r="M26" s="201">
        <f>SUM(M27)</f>
        <v>0</v>
      </c>
      <c r="N26" s="201">
        <f>SUM(N27)</f>
        <v>0</v>
      </c>
      <c r="O26" s="427"/>
    </row>
    <row r="27" spans="1:15" s="55" customFormat="1" ht="15.75" customHeight="1">
      <c r="A27" s="494"/>
      <c r="B27" s="493"/>
      <c r="C27" s="267" t="s">
        <v>341</v>
      </c>
      <c r="D27" s="116"/>
      <c r="E27" s="269">
        <f>SUM(H27)</f>
        <v>150000</v>
      </c>
      <c r="F27" s="269"/>
      <c r="G27" s="269"/>
      <c r="H27" s="269">
        <f>SUM(L27)</f>
        <v>150000</v>
      </c>
      <c r="I27" s="269">
        <v>0</v>
      </c>
      <c r="J27" s="269">
        <v>0</v>
      </c>
      <c r="K27" s="200" t="s">
        <v>94</v>
      </c>
      <c r="L27" s="269">
        <v>150000</v>
      </c>
      <c r="M27" s="272">
        <v>0</v>
      </c>
      <c r="N27" s="358"/>
      <c r="O27" s="612" t="s">
        <v>332</v>
      </c>
    </row>
    <row r="28" spans="1:15" s="55" customFormat="1" ht="22.5" customHeight="1">
      <c r="A28" s="271"/>
      <c r="B28" s="188"/>
      <c r="C28" s="267" t="s">
        <v>472</v>
      </c>
      <c r="D28" s="116"/>
      <c r="E28" s="269">
        <v>25000</v>
      </c>
      <c r="F28" s="269"/>
      <c r="G28" s="269"/>
      <c r="H28" s="269">
        <v>25000</v>
      </c>
      <c r="I28" s="269"/>
      <c r="J28" s="269"/>
      <c r="K28" s="200" t="s">
        <v>306</v>
      </c>
      <c r="L28" s="269">
        <v>25000</v>
      </c>
      <c r="M28" s="272"/>
      <c r="N28" s="358"/>
      <c r="O28" s="613"/>
    </row>
    <row r="29" spans="1:15" s="55" customFormat="1" ht="11.25" customHeight="1">
      <c r="A29" s="118"/>
      <c r="B29" s="109"/>
      <c r="C29" s="267" t="s">
        <v>342</v>
      </c>
      <c r="D29" s="116"/>
      <c r="E29" s="269">
        <f aca="true" t="shared" si="1" ref="E29:E38">SUM(H29)</f>
        <v>80000</v>
      </c>
      <c r="F29" s="269"/>
      <c r="G29" s="269"/>
      <c r="H29" s="269">
        <f aca="true" t="shared" si="2" ref="H29:H38">SUM(L29)</f>
        <v>80000</v>
      </c>
      <c r="I29" s="269">
        <v>0</v>
      </c>
      <c r="J29" s="269">
        <v>0</v>
      </c>
      <c r="K29" s="200" t="s">
        <v>94</v>
      </c>
      <c r="L29" s="269">
        <v>80000</v>
      </c>
      <c r="M29" s="272">
        <v>0</v>
      </c>
      <c r="N29" s="358"/>
      <c r="O29" s="613"/>
    </row>
    <row r="30" spans="1:15" s="55" customFormat="1" ht="23.25" customHeight="1">
      <c r="A30" s="496"/>
      <c r="B30" s="497"/>
      <c r="C30" s="267" t="s">
        <v>349</v>
      </c>
      <c r="D30" s="116"/>
      <c r="E30" s="269">
        <f t="shared" si="1"/>
        <v>24000</v>
      </c>
      <c r="F30" s="269"/>
      <c r="G30" s="269"/>
      <c r="H30" s="269">
        <f t="shared" si="2"/>
        <v>24000</v>
      </c>
      <c r="I30" s="269">
        <v>0</v>
      </c>
      <c r="J30" s="269">
        <v>0</v>
      </c>
      <c r="K30" s="200" t="s">
        <v>94</v>
      </c>
      <c r="L30" s="269">
        <v>24000</v>
      </c>
      <c r="M30" s="272">
        <v>0</v>
      </c>
      <c r="N30" s="358"/>
      <c r="O30" s="614"/>
    </row>
    <row r="31" spans="1:15" s="55" customFormat="1" ht="23.25" customHeight="1">
      <c r="A31" s="454">
        <v>754</v>
      </c>
      <c r="B31" s="455">
        <v>75411</v>
      </c>
      <c r="C31" s="267" t="s">
        <v>350</v>
      </c>
      <c r="D31" s="268"/>
      <c r="E31" s="269">
        <f t="shared" si="1"/>
        <v>24000</v>
      </c>
      <c r="F31" s="269"/>
      <c r="G31" s="269"/>
      <c r="H31" s="269">
        <f t="shared" si="2"/>
        <v>24000</v>
      </c>
      <c r="I31" s="269">
        <v>0</v>
      </c>
      <c r="J31" s="269">
        <v>0</v>
      </c>
      <c r="K31" s="200" t="s">
        <v>94</v>
      </c>
      <c r="L31" s="269">
        <v>24000</v>
      </c>
      <c r="M31" s="272">
        <v>0</v>
      </c>
      <c r="N31" s="441"/>
      <c r="O31" s="576" t="s">
        <v>332</v>
      </c>
    </row>
    <row r="32" spans="1:15" s="55" customFormat="1" ht="22.5" customHeight="1">
      <c r="A32" s="271"/>
      <c r="B32" s="188"/>
      <c r="C32" s="355" t="s">
        <v>344</v>
      </c>
      <c r="D32" s="187"/>
      <c r="E32" s="356">
        <f t="shared" si="1"/>
        <v>20000</v>
      </c>
      <c r="F32" s="356"/>
      <c r="G32" s="356"/>
      <c r="H32" s="356">
        <f t="shared" si="2"/>
        <v>20000</v>
      </c>
      <c r="I32" s="356">
        <v>0</v>
      </c>
      <c r="J32" s="356">
        <v>0</v>
      </c>
      <c r="K32" s="189" t="s">
        <v>94</v>
      </c>
      <c r="L32" s="356">
        <v>20000</v>
      </c>
      <c r="M32" s="357">
        <v>0</v>
      </c>
      <c r="N32" s="441"/>
      <c r="O32" s="559"/>
    </row>
    <row r="33" spans="1:15" s="55" customFormat="1" ht="25.5" customHeight="1">
      <c r="A33" s="271"/>
      <c r="B33" s="188"/>
      <c r="C33" s="267" t="s">
        <v>343</v>
      </c>
      <c r="D33" s="268"/>
      <c r="E33" s="269">
        <f t="shared" si="1"/>
        <v>33000</v>
      </c>
      <c r="F33" s="269"/>
      <c r="G33" s="269"/>
      <c r="H33" s="269">
        <f t="shared" si="2"/>
        <v>33000</v>
      </c>
      <c r="I33" s="269">
        <v>0</v>
      </c>
      <c r="J33" s="269">
        <v>0</v>
      </c>
      <c r="K33" s="200" t="s">
        <v>94</v>
      </c>
      <c r="L33" s="269">
        <v>33000</v>
      </c>
      <c r="M33" s="272">
        <v>0</v>
      </c>
      <c r="N33" s="441"/>
      <c r="O33" s="559"/>
    </row>
    <row r="34" spans="1:15" s="55" customFormat="1" ht="22.5" customHeight="1">
      <c r="A34" s="271"/>
      <c r="B34" s="188"/>
      <c r="C34" s="267" t="s">
        <v>345</v>
      </c>
      <c r="D34" s="268"/>
      <c r="E34" s="269">
        <f t="shared" si="1"/>
        <v>8000</v>
      </c>
      <c r="F34" s="269"/>
      <c r="G34" s="269"/>
      <c r="H34" s="269">
        <f t="shared" si="2"/>
        <v>8000</v>
      </c>
      <c r="I34" s="269">
        <v>0</v>
      </c>
      <c r="J34" s="269">
        <v>0</v>
      </c>
      <c r="K34" s="200" t="s">
        <v>94</v>
      </c>
      <c r="L34" s="269">
        <v>8000</v>
      </c>
      <c r="M34" s="272">
        <v>0</v>
      </c>
      <c r="N34" s="441"/>
      <c r="O34" s="559"/>
    </row>
    <row r="35" spans="1:15" s="55" customFormat="1" ht="22.5" customHeight="1">
      <c r="A35" s="271"/>
      <c r="B35" s="188"/>
      <c r="C35" s="355" t="s">
        <v>346</v>
      </c>
      <c r="D35" s="187"/>
      <c r="E35" s="356">
        <f t="shared" si="1"/>
        <v>6000</v>
      </c>
      <c r="F35" s="356"/>
      <c r="G35" s="356"/>
      <c r="H35" s="269">
        <f t="shared" si="2"/>
        <v>6000</v>
      </c>
      <c r="I35" s="356">
        <v>0</v>
      </c>
      <c r="J35" s="356">
        <v>0</v>
      </c>
      <c r="K35" s="200" t="s">
        <v>94</v>
      </c>
      <c r="L35" s="356">
        <v>6000</v>
      </c>
      <c r="M35" s="357">
        <v>0</v>
      </c>
      <c r="N35" s="441"/>
      <c r="O35" s="559"/>
    </row>
    <row r="36" spans="1:15" s="55" customFormat="1" ht="23.25" customHeight="1">
      <c r="A36" s="271"/>
      <c r="B36" s="188"/>
      <c r="C36" s="267" t="s">
        <v>351</v>
      </c>
      <c r="D36" s="268"/>
      <c r="E36" s="269">
        <f t="shared" si="1"/>
        <v>2000</v>
      </c>
      <c r="F36" s="269"/>
      <c r="G36" s="269"/>
      <c r="H36" s="269">
        <f t="shared" si="2"/>
        <v>2000</v>
      </c>
      <c r="I36" s="269">
        <v>0</v>
      </c>
      <c r="J36" s="269">
        <v>0</v>
      </c>
      <c r="K36" s="200" t="s">
        <v>94</v>
      </c>
      <c r="L36" s="269">
        <v>2000</v>
      </c>
      <c r="M36" s="272">
        <v>0</v>
      </c>
      <c r="N36" s="441"/>
      <c r="O36" s="559"/>
    </row>
    <row r="37" spans="1:15" s="55" customFormat="1" ht="25.5" customHeight="1">
      <c r="A37" s="271"/>
      <c r="B37" s="188"/>
      <c r="C37" s="267" t="s">
        <v>347</v>
      </c>
      <c r="D37" s="268"/>
      <c r="E37" s="269">
        <f t="shared" si="1"/>
        <v>1500</v>
      </c>
      <c r="F37" s="269"/>
      <c r="G37" s="269"/>
      <c r="H37" s="269">
        <f t="shared" si="2"/>
        <v>1500</v>
      </c>
      <c r="I37" s="269">
        <v>0</v>
      </c>
      <c r="J37" s="269">
        <v>0</v>
      </c>
      <c r="K37" s="200" t="s">
        <v>94</v>
      </c>
      <c r="L37" s="269">
        <v>1500</v>
      </c>
      <c r="M37" s="272">
        <v>0</v>
      </c>
      <c r="N37" s="441"/>
      <c r="O37" s="559"/>
    </row>
    <row r="38" spans="1:15" s="55" customFormat="1" ht="15.75" customHeight="1">
      <c r="A38" s="271"/>
      <c r="B38" s="188"/>
      <c r="C38" s="267" t="s">
        <v>348</v>
      </c>
      <c r="D38" s="268"/>
      <c r="E38" s="269">
        <f t="shared" si="1"/>
        <v>1500</v>
      </c>
      <c r="F38" s="269"/>
      <c r="G38" s="269"/>
      <c r="H38" s="269">
        <f t="shared" si="2"/>
        <v>1500</v>
      </c>
      <c r="I38" s="269">
        <v>0</v>
      </c>
      <c r="J38" s="269">
        <v>0</v>
      </c>
      <c r="K38" s="200" t="s">
        <v>94</v>
      </c>
      <c r="L38" s="269">
        <v>1500</v>
      </c>
      <c r="M38" s="272">
        <v>0</v>
      </c>
      <c r="N38" s="441"/>
      <c r="O38" s="559"/>
    </row>
    <row r="39" spans="1:15" s="55" customFormat="1" ht="33.75">
      <c r="A39" s="271"/>
      <c r="B39" s="188"/>
      <c r="C39" s="267" t="s">
        <v>471</v>
      </c>
      <c r="D39" s="268"/>
      <c r="E39" s="269">
        <v>5600</v>
      </c>
      <c r="F39" s="269"/>
      <c r="G39" s="269"/>
      <c r="H39" s="269">
        <v>5600</v>
      </c>
      <c r="I39" s="269">
        <v>0</v>
      </c>
      <c r="J39" s="269">
        <v>0</v>
      </c>
      <c r="K39" s="363" t="s">
        <v>94</v>
      </c>
      <c r="L39" s="269">
        <v>5600</v>
      </c>
      <c r="M39" s="272">
        <v>0</v>
      </c>
      <c r="N39" s="441"/>
      <c r="O39" s="559"/>
    </row>
    <row r="40" spans="1:15" s="55" customFormat="1" ht="14.25">
      <c r="A40" s="271"/>
      <c r="B40" s="188"/>
      <c r="C40" s="492" t="s">
        <v>146</v>
      </c>
      <c r="D40" s="268"/>
      <c r="E40" s="269">
        <v>4000</v>
      </c>
      <c r="F40" s="269"/>
      <c r="G40" s="269"/>
      <c r="H40" s="269">
        <v>4000</v>
      </c>
      <c r="I40" s="269">
        <v>0</v>
      </c>
      <c r="J40" s="269">
        <v>0</v>
      </c>
      <c r="K40" s="363" t="s">
        <v>94</v>
      </c>
      <c r="L40" s="269">
        <v>4000</v>
      </c>
      <c r="M40" s="272"/>
      <c r="N40" s="441"/>
      <c r="O40" s="559"/>
    </row>
    <row r="41" spans="1:15" s="55" customFormat="1" ht="14.25">
      <c r="A41" s="271"/>
      <c r="B41" s="188"/>
      <c r="C41" s="635" t="s">
        <v>137</v>
      </c>
      <c r="D41" s="268"/>
      <c r="E41" s="636">
        <v>50000</v>
      </c>
      <c r="F41" s="270"/>
      <c r="G41" s="270"/>
      <c r="H41" s="636">
        <v>50000</v>
      </c>
      <c r="I41" s="631"/>
      <c r="J41" s="631"/>
      <c r="K41" s="363" t="s">
        <v>306</v>
      </c>
      <c r="L41" s="269">
        <v>28000</v>
      </c>
      <c r="M41" s="633"/>
      <c r="N41" s="441"/>
      <c r="O41" s="559"/>
    </row>
    <row r="42" spans="1:15" s="55" customFormat="1" ht="14.25">
      <c r="A42" s="368"/>
      <c r="B42" s="367"/>
      <c r="C42" s="592"/>
      <c r="D42" s="268"/>
      <c r="E42" s="637"/>
      <c r="F42" s="270"/>
      <c r="G42" s="270"/>
      <c r="H42" s="637"/>
      <c r="I42" s="632"/>
      <c r="J42" s="632"/>
      <c r="K42" s="363" t="s">
        <v>94</v>
      </c>
      <c r="L42" s="269">
        <v>22000</v>
      </c>
      <c r="M42" s="634"/>
      <c r="N42" s="441"/>
      <c r="O42" s="560"/>
    </row>
    <row r="43" spans="1:15" s="69" customFormat="1" ht="12.75">
      <c r="A43" s="429">
        <v>801</v>
      </c>
      <c r="B43" s="429">
        <v>80130</v>
      </c>
      <c r="C43" s="80" t="s">
        <v>196</v>
      </c>
      <c r="D43" s="174"/>
      <c r="E43" s="201">
        <f>SUM(E44:E45)</f>
        <v>108600</v>
      </c>
      <c r="F43" s="201">
        <f>SUM(F44:F45)</f>
        <v>0</v>
      </c>
      <c r="G43" s="201">
        <f>SUM(G44:G45)</f>
        <v>0</v>
      </c>
      <c r="H43" s="201">
        <f>SUM(H44:H45)</f>
        <v>108600</v>
      </c>
      <c r="I43" s="201">
        <f>SUM(I44:I45)</f>
        <v>108600</v>
      </c>
      <c r="J43" s="201">
        <f>SUM(J44)</f>
        <v>0</v>
      </c>
      <c r="K43" s="610">
        <v>0</v>
      </c>
      <c r="L43" s="611"/>
      <c r="M43" s="201">
        <f>SUM(M52)</f>
        <v>0</v>
      </c>
      <c r="N43" s="201">
        <f>SUM(N52)</f>
        <v>0</v>
      </c>
      <c r="O43" s="151"/>
    </row>
    <row r="44" spans="1:15" s="69" customFormat="1" ht="20.25" customHeight="1">
      <c r="A44" s="150"/>
      <c r="B44" s="530"/>
      <c r="C44" s="267" t="s">
        <v>460</v>
      </c>
      <c r="D44" s="268"/>
      <c r="E44" s="269">
        <v>53600</v>
      </c>
      <c r="F44" s="269"/>
      <c r="G44" s="269"/>
      <c r="H44" s="269">
        <v>53600</v>
      </c>
      <c r="I44" s="269">
        <v>53600</v>
      </c>
      <c r="J44" s="269">
        <v>0</v>
      </c>
      <c r="K44" s="610">
        <v>0</v>
      </c>
      <c r="L44" s="611"/>
      <c r="M44" s="270">
        <v>0</v>
      </c>
      <c r="N44" s="269"/>
      <c r="O44" s="268" t="s">
        <v>159</v>
      </c>
    </row>
    <row r="45" spans="1:15" s="69" customFormat="1" ht="27" customHeight="1">
      <c r="A45" s="151"/>
      <c r="B45" s="531"/>
      <c r="C45" s="267" t="s">
        <v>460</v>
      </c>
      <c r="D45" s="268"/>
      <c r="E45" s="269">
        <v>55000</v>
      </c>
      <c r="F45" s="269"/>
      <c r="G45" s="269"/>
      <c r="H45" s="269">
        <v>55000</v>
      </c>
      <c r="I45" s="269">
        <v>55000</v>
      </c>
      <c r="J45" s="269">
        <v>0</v>
      </c>
      <c r="K45" s="501"/>
      <c r="L45" s="512">
        <v>0</v>
      </c>
      <c r="M45" s="270">
        <v>0</v>
      </c>
      <c r="N45" s="269"/>
      <c r="O45" s="187" t="s">
        <v>33</v>
      </c>
    </row>
    <row r="46" spans="1:15" s="69" customFormat="1" ht="12.75">
      <c r="A46" s="429">
        <v>801</v>
      </c>
      <c r="B46" s="429">
        <v>80140</v>
      </c>
      <c r="C46" s="80" t="s">
        <v>196</v>
      </c>
      <c r="D46" s="174"/>
      <c r="E46" s="201">
        <f>SUM(E47)</f>
        <v>11600</v>
      </c>
      <c r="F46" s="201">
        <f>SUM(F47)</f>
        <v>0</v>
      </c>
      <c r="G46" s="201">
        <f>SUM(G47)</f>
        <v>0</v>
      </c>
      <c r="H46" s="201">
        <f>SUM(H47)</f>
        <v>11600</v>
      </c>
      <c r="I46" s="201">
        <f>SUM(I47)</f>
        <v>11600</v>
      </c>
      <c r="J46" s="201">
        <f>SUM(J48)</f>
        <v>0</v>
      </c>
      <c r="K46" s="615">
        <v>0</v>
      </c>
      <c r="L46" s="616"/>
      <c r="M46" s="201">
        <f>SUM(M52)</f>
        <v>0</v>
      </c>
      <c r="N46" s="201">
        <f>SUM(N52)</f>
        <v>0</v>
      </c>
      <c r="O46" s="151"/>
    </row>
    <row r="47" spans="1:15" s="69" customFormat="1" ht="25.5">
      <c r="A47" s="273"/>
      <c r="B47" s="150"/>
      <c r="C47" s="532" t="s">
        <v>34</v>
      </c>
      <c r="D47" s="174"/>
      <c r="E47" s="437">
        <v>11600</v>
      </c>
      <c r="F47" s="437"/>
      <c r="G47" s="437"/>
      <c r="H47" s="437">
        <v>11600</v>
      </c>
      <c r="I47" s="437">
        <v>11600</v>
      </c>
      <c r="J47" s="437">
        <v>0</v>
      </c>
      <c r="K47" s="438"/>
      <c r="L47" s="439">
        <v>0</v>
      </c>
      <c r="M47" s="437">
        <v>0</v>
      </c>
      <c r="N47" s="437"/>
      <c r="O47" s="268" t="s">
        <v>35</v>
      </c>
    </row>
    <row r="48" spans="1:15" s="69" customFormat="1" ht="12.75">
      <c r="A48" s="174">
        <v>801</v>
      </c>
      <c r="B48" s="174">
        <v>80148</v>
      </c>
      <c r="C48" s="80" t="s">
        <v>196</v>
      </c>
      <c r="D48" s="174"/>
      <c r="E48" s="201">
        <f>SUM(E49:E51)</f>
        <v>20378</v>
      </c>
      <c r="F48" s="201">
        <f>SUM(F49:F51)</f>
        <v>0</v>
      </c>
      <c r="G48" s="201">
        <f>SUM(G49:G51)</f>
        <v>0</v>
      </c>
      <c r="H48" s="201">
        <f>SUM(H49:H51)</f>
        <v>20378</v>
      </c>
      <c r="I48" s="201">
        <f>SUM(I49:I51)</f>
        <v>20378</v>
      </c>
      <c r="J48" s="201">
        <f>SUM(J51)</f>
        <v>0</v>
      </c>
      <c r="K48" s="615">
        <v>0</v>
      </c>
      <c r="L48" s="616"/>
      <c r="M48" s="201">
        <f>SUM(M54)</f>
        <v>0</v>
      </c>
      <c r="N48" s="201">
        <f>SUM(N54)</f>
        <v>0</v>
      </c>
      <c r="O48" s="151"/>
    </row>
    <row r="49" spans="1:15" s="69" customFormat="1" ht="16.5" customHeight="1">
      <c r="A49" s="273"/>
      <c r="B49" s="150"/>
      <c r="C49" s="436" t="s">
        <v>152</v>
      </c>
      <c r="D49" s="174"/>
      <c r="E49" s="437">
        <v>6400</v>
      </c>
      <c r="F49" s="437"/>
      <c r="G49" s="437"/>
      <c r="H49" s="437">
        <v>6400</v>
      </c>
      <c r="I49" s="437">
        <v>6400</v>
      </c>
      <c r="J49" s="437">
        <v>0</v>
      </c>
      <c r="K49" s="438"/>
      <c r="L49" s="439">
        <v>0</v>
      </c>
      <c r="M49" s="437">
        <v>0</v>
      </c>
      <c r="N49" s="437"/>
      <c r="O49" s="268" t="s">
        <v>159</v>
      </c>
    </row>
    <row r="50" spans="1:15" s="69" customFormat="1" ht="22.5">
      <c r="A50" s="435"/>
      <c r="B50" s="429"/>
      <c r="C50" s="436" t="s">
        <v>324</v>
      </c>
      <c r="D50" s="174"/>
      <c r="E50" s="437">
        <v>3978</v>
      </c>
      <c r="F50" s="437"/>
      <c r="G50" s="437"/>
      <c r="H50" s="437">
        <v>3978</v>
      </c>
      <c r="I50" s="437">
        <v>3978</v>
      </c>
      <c r="J50" s="437">
        <v>0</v>
      </c>
      <c r="K50" s="438"/>
      <c r="L50" s="439">
        <v>0</v>
      </c>
      <c r="M50" s="437">
        <v>0</v>
      </c>
      <c r="N50" s="437"/>
      <c r="O50" s="576" t="s">
        <v>474</v>
      </c>
    </row>
    <row r="51" spans="1:15" s="69" customFormat="1" ht="27" customHeight="1">
      <c r="A51" s="495"/>
      <c r="B51" s="151"/>
      <c r="C51" s="267" t="s">
        <v>473</v>
      </c>
      <c r="D51" s="268"/>
      <c r="E51" s="269">
        <v>10000</v>
      </c>
      <c r="F51" s="269"/>
      <c r="G51" s="269"/>
      <c r="H51" s="269">
        <v>10000</v>
      </c>
      <c r="I51" s="269">
        <v>10000</v>
      </c>
      <c r="J51" s="269">
        <v>0</v>
      </c>
      <c r="K51" s="610">
        <v>0</v>
      </c>
      <c r="L51" s="611"/>
      <c r="M51" s="270">
        <v>0</v>
      </c>
      <c r="N51" s="269"/>
      <c r="O51" s="560"/>
    </row>
    <row r="52" spans="1:15" s="69" customFormat="1" ht="12.75">
      <c r="A52" s="151">
        <v>801</v>
      </c>
      <c r="B52" s="151">
        <v>80195</v>
      </c>
      <c r="C52" s="80" t="s">
        <v>196</v>
      </c>
      <c r="D52" s="174"/>
      <c r="E52" s="201">
        <f aca="true" t="shared" si="3" ref="E52:J52">SUM(E53)</f>
        <v>11000</v>
      </c>
      <c r="F52" s="201">
        <f t="shared" si="3"/>
        <v>0</v>
      </c>
      <c r="G52" s="201">
        <f t="shared" si="3"/>
        <v>0</v>
      </c>
      <c r="H52" s="201">
        <f t="shared" si="3"/>
        <v>11000</v>
      </c>
      <c r="I52" s="201">
        <f t="shared" si="3"/>
        <v>11000</v>
      </c>
      <c r="J52" s="201">
        <f t="shared" si="3"/>
        <v>0</v>
      </c>
      <c r="K52" s="610">
        <v>0</v>
      </c>
      <c r="L52" s="611"/>
      <c r="M52" s="201">
        <f>SUM(M60)</f>
        <v>0</v>
      </c>
      <c r="N52" s="201">
        <f>SUM(N60)</f>
        <v>0</v>
      </c>
      <c r="O52" s="151"/>
    </row>
    <row r="53" spans="1:15" s="69" customFormat="1" ht="25.5" customHeight="1">
      <c r="A53" s="273"/>
      <c r="B53" s="150"/>
      <c r="C53" s="267" t="s">
        <v>136</v>
      </c>
      <c r="D53" s="268"/>
      <c r="E53" s="269">
        <v>11000</v>
      </c>
      <c r="F53" s="269"/>
      <c r="G53" s="269"/>
      <c r="H53" s="269">
        <v>11000</v>
      </c>
      <c r="I53" s="269">
        <v>11000</v>
      </c>
      <c r="J53" s="269">
        <v>0</v>
      </c>
      <c r="K53" s="610">
        <v>0</v>
      </c>
      <c r="L53" s="611"/>
      <c r="M53" s="270">
        <v>0</v>
      </c>
      <c r="N53" s="269"/>
      <c r="O53" s="268" t="s">
        <v>159</v>
      </c>
    </row>
    <row r="54" spans="1:15" s="69" customFormat="1" ht="12.75">
      <c r="A54" s="150">
        <v>852</v>
      </c>
      <c r="B54" s="150">
        <v>85202</v>
      </c>
      <c r="C54" s="80" t="s">
        <v>203</v>
      </c>
      <c r="D54" s="174"/>
      <c r="E54" s="201">
        <f>SUM(E55:E60)</f>
        <v>172891</v>
      </c>
      <c r="F54" s="201">
        <f>SUM(F60)</f>
        <v>0</v>
      </c>
      <c r="G54" s="201">
        <f>SUM(G60)</f>
        <v>0</v>
      </c>
      <c r="H54" s="201">
        <f>SUM(H55:H60)</f>
        <v>172891</v>
      </c>
      <c r="I54" s="201">
        <f>SUM(I55:I60)</f>
        <v>50610</v>
      </c>
      <c r="J54" s="201">
        <f>SUM(J55:J60)</f>
        <v>45000</v>
      </c>
      <c r="K54" s="201"/>
      <c r="L54" s="201">
        <f>SUM(L60)</f>
        <v>77281</v>
      </c>
      <c r="M54" s="201">
        <f>SUM(M60)</f>
        <v>0</v>
      </c>
      <c r="N54" s="201">
        <f>SUM(N60)</f>
        <v>0</v>
      </c>
      <c r="O54" s="174"/>
    </row>
    <row r="55" spans="1:15" s="69" customFormat="1" ht="25.5" customHeight="1">
      <c r="A55" s="511"/>
      <c r="B55" s="174"/>
      <c r="C55" s="267" t="s">
        <v>333</v>
      </c>
      <c r="D55" s="268"/>
      <c r="E55" s="269">
        <v>45000</v>
      </c>
      <c r="F55" s="269"/>
      <c r="G55" s="269"/>
      <c r="H55" s="269">
        <v>45000</v>
      </c>
      <c r="I55" s="269">
        <v>0</v>
      </c>
      <c r="J55" s="269">
        <v>45000</v>
      </c>
      <c r="K55" s="610">
        <v>0</v>
      </c>
      <c r="L55" s="611"/>
      <c r="M55" s="270">
        <v>0</v>
      </c>
      <c r="N55" s="269"/>
      <c r="O55" s="268" t="s">
        <v>334</v>
      </c>
    </row>
    <row r="56" spans="1:15" s="69" customFormat="1" ht="24.75" customHeight="1">
      <c r="A56" s="511">
        <v>852</v>
      </c>
      <c r="B56" s="174">
        <v>85202</v>
      </c>
      <c r="C56" s="488" t="s">
        <v>147</v>
      </c>
      <c r="D56" s="341"/>
      <c r="E56" s="269">
        <v>9800</v>
      </c>
      <c r="F56" s="269"/>
      <c r="G56" s="269"/>
      <c r="H56" s="269">
        <v>9800</v>
      </c>
      <c r="I56" s="269">
        <v>9800</v>
      </c>
      <c r="J56" s="269">
        <v>0</v>
      </c>
      <c r="K56" s="501"/>
      <c r="L56" s="509"/>
      <c r="M56" s="270"/>
      <c r="N56" s="269"/>
      <c r="O56" s="268" t="s">
        <v>450</v>
      </c>
    </row>
    <row r="57" spans="1:15" s="69" customFormat="1" ht="27" customHeight="1">
      <c r="A57" s="273"/>
      <c r="B57" s="150"/>
      <c r="C57" s="488" t="s">
        <v>148</v>
      </c>
      <c r="D57" s="341"/>
      <c r="E57" s="269">
        <v>11000</v>
      </c>
      <c r="F57" s="269"/>
      <c r="G57" s="269"/>
      <c r="H57" s="269">
        <v>11000</v>
      </c>
      <c r="I57" s="269">
        <v>11000</v>
      </c>
      <c r="J57" s="269">
        <v>0</v>
      </c>
      <c r="K57" s="501"/>
      <c r="L57" s="509">
        <v>0</v>
      </c>
      <c r="M57" s="270">
        <v>0</v>
      </c>
      <c r="N57" s="269"/>
      <c r="O57" s="268" t="s">
        <v>334</v>
      </c>
    </row>
    <row r="58" spans="1:15" s="69" customFormat="1" ht="27" customHeight="1">
      <c r="A58" s="435"/>
      <c r="B58" s="429"/>
      <c r="C58" s="452" t="s">
        <v>149</v>
      </c>
      <c r="D58" s="345"/>
      <c r="E58" s="356">
        <v>5500</v>
      </c>
      <c r="F58" s="356"/>
      <c r="G58" s="356"/>
      <c r="H58" s="356">
        <v>5500</v>
      </c>
      <c r="I58" s="356">
        <v>5500</v>
      </c>
      <c r="J58" s="356">
        <v>0</v>
      </c>
      <c r="K58" s="503"/>
      <c r="L58" s="510">
        <v>0</v>
      </c>
      <c r="M58" s="456">
        <v>0</v>
      </c>
      <c r="N58" s="356"/>
      <c r="O58" s="187" t="s">
        <v>334</v>
      </c>
    </row>
    <row r="59" spans="1:15" s="69" customFormat="1" ht="27" customHeight="1">
      <c r="A59" s="435"/>
      <c r="B59" s="429"/>
      <c r="C59" s="267" t="s">
        <v>153</v>
      </c>
      <c r="D59" s="268"/>
      <c r="E59" s="269">
        <v>5000</v>
      </c>
      <c r="F59" s="269"/>
      <c r="G59" s="269"/>
      <c r="H59" s="269">
        <v>5000</v>
      </c>
      <c r="I59" s="269">
        <v>5000</v>
      </c>
      <c r="J59" s="269">
        <v>0</v>
      </c>
      <c r="K59" s="501"/>
      <c r="L59" s="509">
        <v>0</v>
      </c>
      <c r="M59" s="270">
        <v>0</v>
      </c>
      <c r="N59" s="269"/>
      <c r="O59" s="268" t="s">
        <v>334</v>
      </c>
    </row>
    <row r="60" spans="1:15" s="69" customFormat="1" ht="30" customHeight="1">
      <c r="A60" s="495"/>
      <c r="B60" s="151"/>
      <c r="C60" s="267" t="s">
        <v>462</v>
      </c>
      <c r="D60" s="268"/>
      <c r="E60" s="269">
        <v>96591</v>
      </c>
      <c r="F60" s="269"/>
      <c r="G60" s="269"/>
      <c r="H60" s="269">
        <f>100076-3485</f>
        <v>96591</v>
      </c>
      <c r="I60" s="269">
        <f>5000+14310</f>
        <v>19310</v>
      </c>
      <c r="J60" s="269">
        <v>0</v>
      </c>
      <c r="K60" s="501" t="s">
        <v>306</v>
      </c>
      <c r="L60" s="501">
        <v>77281</v>
      </c>
      <c r="M60" s="270">
        <v>0</v>
      </c>
      <c r="N60" s="269"/>
      <c r="O60" s="268" t="s">
        <v>450</v>
      </c>
    </row>
    <row r="61" spans="1:15" s="81" customFormat="1" ht="22.5" customHeight="1">
      <c r="A61" s="621" t="s">
        <v>31</v>
      </c>
      <c r="B61" s="622"/>
      <c r="C61" s="600"/>
      <c r="D61" s="601"/>
      <c r="E61" s="280">
        <f aca="true" t="shared" si="4" ref="E61:J61">SUM(E54,E52,E48,E43,E26,E20,E14,E46)</f>
        <v>2455782</v>
      </c>
      <c r="F61" s="280">
        <f t="shared" si="4"/>
        <v>0</v>
      </c>
      <c r="G61" s="280">
        <f t="shared" si="4"/>
        <v>0</v>
      </c>
      <c r="H61" s="280">
        <f t="shared" si="4"/>
        <v>2455782</v>
      </c>
      <c r="I61" s="280">
        <f t="shared" si="4"/>
        <v>490461</v>
      </c>
      <c r="J61" s="280">
        <f t="shared" si="4"/>
        <v>1453440</v>
      </c>
      <c r="K61" s="617">
        <f>SUM(L54,L26,K14)</f>
        <v>511881</v>
      </c>
      <c r="L61" s="618"/>
      <c r="M61" s="280">
        <v>0</v>
      </c>
      <c r="N61" s="280" t="e">
        <f>SUM(N54,N26,N20,#REF!,N14)</f>
        <v>#REF!</v>
      </c>
      <c r="O61" s="197" t="s">
        <v>235</v>
      </c>
    </row>
    <row r="63" ht="12.75">
      <c r="A63" s="42" t="s">
        <v>305</v>
      </c>
    </row>
    <row r="64" ht="12.75">
      <c r="A64" s="42" t="s">
        <v>95</v>
      </c>
    </row>
    <row r="69" ht="12.75">
      <c r="E69" s="73"/>
    </row>
  </sheetData>
  <mergeCells count="46">
    <mergeCell ref="J41:J42"/>
    <mergeCell ref="M41:M42"/>
    <mergeCell ref="C41:C42"/>
    <mergeCell ref="E41:E42"/>
    <mergeCell ref="H41:H42"/>
    <mergeCell ref="I41:I42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H11:H12"/>
    <mergeCell ref="I11:M11"/>
    <mergeCell ref="N11:N12"/>
    <mergeCell ref="K12:L12"/>
    <mergeCell ref="A61:D61"/>
    <mergeCell ref="K20:L20"/>
    <mergeCell ref="K23:L23"/>
    <mergeCell ref="K24:L24"/>
    <mergeCell ref="K25:L25"/>
    <mergeCell ref="K61:L61"/>
    <mergeCell ref="K55:L55"/>
    <mergeCell ref="K52:L52"/>
    <mergeCell ref="K53:L53"/>
    <mergeCell ref="K48:L48"/>
    <mergeCell ref="K13:L13"/>
    <mergeCell ref="K14:L14"/>
    <mergeCell ref="K17:L17"/>
    <mergeCell ref="K18:L18"/>
    <mergeCell ref="K15:L15"/>
    <mergeCell ref="K16:L16"/>
    <mergeCell ref="O15:O19"/>
    <mergeCell ref="K51:L51"/>
    <mergeCell ref="O21:O25"/>
    <mergeCell ref="O27:O30"/>
    <mergeCell ref="O31:O42"/>
    <mergeCell ref="K43:L43"/>
    <mergeCell ref="K44:L44"/>
    <mergeCell ref="K46:L46"/>
    <mergeCell ref="O50:O51"/>
  </mergeCells>
  <printOptions/>
  <pageMargins left="0.84" right="0.2" top="0.7" bottom="0.49" header="0.5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R142"/>
  <sheetViews>
    <sheetView workbookViewId="0" topLeftCell="D1">
      <selection activeCell="C15" sqref="C15:Q15"/>
    </sheetView>
  </sheetViews>
  <sheetFormatPr defaultColWidth="9.00390625" defaultRowHeight="12.75"/>
  <cols>
    <col min="1" max="1" width="3.625" style="84" bestFit="1" customWidth="1"/>
    <col min="2" max="2" width="19.125" style="84" customWidth="1"/>
    <col min="3" max="3" width="11.125" style="84" customWidth="1"/>
    <col min="4" max="4" width="9.25390625" style="84" customWidth="1"/>
    <col min="5" max="5" width="10.25390625" style="84" customWidth="1"/>
    <col min="6" max="6" width="8.375" style="84" customWidth="1"/>
    <col min="7" max="7" width="8.625" style="84" customWidth="1"/>
    <col min="8" max="8" width="7.75390625" style="84" customWidth="1"/>
    <col min="9" max="9" width="8.75390625" style="84" customWidth="1"/>
    <col min="10" max="10" width="8.00390625" style="84" customWidth="1"/>
    <col min="11" max="11" width="7.00390625" style="84" bestFit="1" customWidth="1"/>
    <col min="12" max="12" width="8.875" style="84" bestFit="1" customWidth="1"/>
    <col min="13" max="13" width="8.125" style="84" customWidth="1"/>
    <col min="14" max="14" width="12.375" style="84" customWidth="1"/>
    <col min="15" max="15" width="7.75390625" style="84" customWidth="1"/>
    <col min="16" max="16" width="7.00390625" style="84" bestFit="1" customWidth="1"/>
    <col min="17" max="17" width="7.875" style="84" bestFit="1" customWidth="1"/>
    <col min="18" max="16384" width="10.25390625" style="84" customWidth="1"/>
  </cols>
  <sheetData>
    <row r="1" ht="14.25">
      <c r="Q1" s="373" t="s">
        <v>439</v>
      </c>
    </row>
    <row r="2" ht="14.25">
      <c r="Q2" s="43" t="s">
        <v>323</v>
      </c>
    </row>
    <row r="3" ht="14.25">
      <c r="Q3" s="43" t="s">
        <v>194</v>
      </c>
    </row>
    <row r="4" ht="11.25" customHeight="1"/>
    <row r="5" spans="1:17" ht="14.25" customHeight="1">
      <c r="A5" s="666" t="s">
        <v>541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</row>
    <row r="7" spans="1:17" s="119" customFormat="1" ht="9.75" customHeight="1">
      <c r="A7" s="667" t="s">
        <v>65</v>
      </c>
      <c r="B7" s="667" t="s">
        <v>237</v>
      </c>
      <c r="C7" s="668" t="s">
        <v>238</v>
      </c>
      <c r="D7" s="668" t="s">
        <v>239</v>
      </c>
      <c r="E7" s="668" t="s">
        <v>240</v>
      </c>
      <c r="F7" s="667" t="s">
        <v>241</v>
      </c>
      <c r="G7" s="667"/>
      <c r="H7" s="667" t="s">
        <v>82</v>
      </c>
      <c r="I7" s="667"/>
      <c r="J7" s="667"/>
      <c r="K7" s="667"/>
      <c r="L7" s="667"/>
      <c r="M7" s="667"/>
      <c r="N7" s="667"/>
      <c r="O7" s="667"/>
      <c r="P7" s="667"/>
      <c r="Q7" s="667"/>
    </row>
    <row r="8" spans="1:17" s="119" customFormat="1" ht="9" customHeight="1">
      <c r="A8" s="667"/>
      <c r="B8" s="667"/>
      <c r="C8" s="668"/>
      <c r="D8" s="668"/>
      <c r="E8" s="668"/>
      <c r="F8" s="668" t="s">
        <v>242</v>
      </c>
      <c r="G8" s="668" t="s">
        <v>243</v>
      </c>
      <c r="H8" s="667" t="s">
        <v>262</v>
      </c>
      <c r="I8" s="667"/>
      <c r="J8" s="667"/>
      <c r="K8" s="667"/>
      <c r="L8" s="667"/>
      <c r="M8" s="667"/>
      <c r="N8" s="667"/>
      <c r="O8" s="667"/>
      <c r="P8" s="667"/>
      <c r="Q8" s="667"/>
    </row>
    <row r="9" spans="1:17" s="119" customFormat="1" ht="9.75" customHeight="1">
      <c r="A9" s="667"/>
      <c r="B9" s="667"/>
      <c r="C9" s="668"/>
      <c r="D9" s="668"/>
      <c r="E9" s="668"/>
      <c r="F9" s="668"/>
      <c r="G9" s="668"/>
      <c r="H9" s="668" t="s">
        <v>492</v>
      </c>
      <c r="I9" s="667" t="s">
        <v>244</v>
      </c>
      <c r="J9" s="667"/>
      <c r="K9" s="667"/>
      <c r="L9" s="667"/>
      <c r="M9" s="667"/>
      <c r="N9" s="667"/>
      <c r="O9" s="667"/>
      <c r="P9" s="667"/>
      <c r="Q9" s="667"/>
    </row>
    <row r="10" spans="1:17" s="119" customFormat="1" ht="12" customHeight="1">
      <c r="A10" s="667"/>
      <c r="B10" s="667"/>
      <c r="C10" s="668"/>
      <c r="D10" s="668"/>
      <c r="E10" s="668"/>
      <c r="F10" s="668"/>
      <c r="G10" s="668"/>
      <c r="H10" s="668"/>
      <c r="I10" s="667" t="s">
        <v>245</v>
      </c>
      <c r="J10" s="667"/>
      <c r="K10" s="667"/>
      <c r="L10" s="667"/>
      <c r="M10" s="667" t="s">
        <v>243</v>
      </c>
      <c r="N10" s="667"/>
      <c r="O10" s="667"/>
      <c r="P10" s="667"/>
      <c r="Q10" s="667"/>
    </row>
    <row r="11" spans="1:17" s="119" customFormat="1" ht="9" customHeight="1">
      <c r="A11" s="667"/>
      <c r="B11" s="667"/>
      <c r="C11" s="668"/>
      <c r="D11" s="668"/>
      <c r="E11" s="668"/>
      <c r="F11" s="668"/>
      <c r="G11" s="668"/>
      <c r="H11" s="668"/>
      <c r="I11" s="668" t="s">
        <v>246</v>
      </c>
      <c r="J11" s="667" t="s">
        <v>247</v>
      </c>
      <c r="K11" s="667"/>
      <c r="L11" s="667"/>
      <c r="M11" s="668" t="s">
        <v>248</v>
      </c>
      <c r="N11" s="668" t="s">
        <v>247</v>
      </c>
      <c r="O11" s="668"/>
      <c r="P11" s="668"/>
      <c r="Q11" s="668"/>
    </row>
    <row r="12" spans="1:17" s="119" customFormat="1" ht="34.5" customHeight="1">
      <c r="A12" s="667"/>
      <c r="B12" s="667"/>
      <c r="C12" s="668"/>
      <c r="D12" s="668"/>
      <c r="E12" s="668"/>
      <c r="F12" s="668"/>
      <c r="G12" s="668"/>
      <c r="H12" s="668"/>
      <c r="I12" s="668"/>
      <c r="J12" s="274" t="s">
        <v>249</v>
      </c>
      <c r="K12" s="274" t="s">
        <v>250</v>
      </c>
      <c r="L12" s="274" t="s">
        <v>251</v>
      </c>
      <c r="M12" s="668"/>
      <c r="N12" s="275" t="s">
        <v>252</v>
      </c>
      <c r="O12" s="274" t="s">
        <v>249</v>
      </c>
      <c r="P12" s="274" t="s">
        <v>250</v>
      </c>
      <c r="Q12" s="274" t="s">
        <v>253</v>
      </c>
    </row>
    <row r="13" spans="1:17" s="119" customFormat="1" ht="11.25">
      <c r="A13" s="276">
        <v>1</v>
      </c>
      <c r="B13" s="276">
        <v>2</v>
      </c>
      <c r="C13" s="277">
        <v>3</v>
      </c>
      <c r="D13" s="277">
        <v>4</v>
      </c>
      <c r="E13" s="277">
        <v>5</v>
      </c>
      <c r="F13" s="277">
        <v>6</v>
      </c>
      <c r="G13" s="277">
        <v>7</v>
      </c>
      <c r="H13" s="277">
        <v>8</v>
      </c>
      <c r="I13" s="277">
        <v>9</v>
      </c>
      <c r="J13" s="277">
        <v>10</v>
      </c>
      <c r="K13" s="277">
        <v>11</v>
      </c>
      <c r="L13" s="277">
        <v>12</v>
      </c>
      <c r="M13" s="277">
        <v>13</v>
      </c>
      <c r="N13" s="277">
        <v>14</v>
      </c>
      <c r="O13" s="277">
        <v>15</v>
      </c>
      <c r="P13" s="277">
        <v>16</v>
      </c>
      <c r="Q13" s="277">
        <v>17</v>
      </c>
    </row>
    <row r="14" spans="1:17" s="336" customFormat="1" ht="11.25">
      <c r="A14" s="278">
        <v>1</v>
      </c>
      <c r="B14" s="279" t="s">
        <v>254</v>
      </c>
      <c r="C14" s="672" t="s">
        <v>255</v>
      </c>
      <c r="D14" s="673"/>
      <c r="E14" s="335">
        <f>SUM(E19,E41,E81,E51,E61,E31,E71)</f>
        <v>32589283</v>
      </c>
      <c r="F14" s="335">
        <f aca="true" t="shared" si="0" ref="F14:Q14">SUM(F19,F41,F81,F51,F61,F31,F71)</f>
        <v>8833792</v>
      </c>
      <c r="G14" s="335">
        <f t="shared" si="0"/>
        <v>23755491</v>
      </c>
      <c r="H14" s="335">
        <f t="shared" si="0"/>
        <v>441765</v>
      </c>
      <c r="I14" s="335">
        <f t="shared" si="0"/>
        <v>441765</v>
      </c>
      <c r="J14" s="335">
        <f t="shared" si="0"/>
        <v>240340</v>
      </c>
      <c r="K14" s="335">
        <f t="shared" si="0"/>
        <v>0</v>
      </c>
      <c r="L14" s="335">
        <f t="shared" si="0"/>
        <v>201425</v>
      </c>
      <c r="M14" s="335">
        <f t="shared" si="0"/>
        <v>0</v>
      </c>
      <c r="N14" s="335">
        <f t="shared" si="0"/>
        <v>0</v>
      </c>
      <c r="O14" s="335">
        <f t="shared" si="0"/>
        <v>0</v>
      </c>
      <c r="P14" s="335">
        <f t="shared" si="0"/>
        <v>0</v>
      </c>
      <c r="Q14" s="335">
        <f t="shared" si="0"/>
        <v>0</v>
      </c>
    </row>
    <row r="15" spans="1:17" ht="12.75">
      <c r="A15" s="638" t="s">
        <v>256</v>
      </c>
      <c r="B15" s="190" t="s">
        <v>257</v>
      </c>
      <c r="C15" s="641" t="s">
        <v>463</v>
      </c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</row>
    <row r="16" spans="1:17" ht="12.75">
      <c r="A16" s="639"/>
      <c r="B16" s="190" t="s">
        <v>258</v>
      </c>
      <c r="C16" s="643" t="s">
        <v>307</v>
      </c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5"/>
    </row>
    <row r="17" spans="1:17" ht="12.75">
      <c r="A17" s="639"/>
      <c r="B17" s="190" t="s">
        <v>259</v>
      </c>
      <c r="C17" s="643" t="s">
        <v>308</v>
      </c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5"/>
    </row>
    <row r="18" spans="1:18" ht="12.75">
      <c r="A18" s="639"/>
      <c r="B18" s="190" t="s">
        <v>260</v>
      </c>
      <c r="C18" s="674" t="s">
        <v>309</v>
      </c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6"/>
      <c r="R18" s="337"/>
    </row>
    <row r="19" spans="1:17" ht="11.25">
      <c r="A19" s="639"/>
      <c r="B19" s="190" t="s">
        <v>261</v>
      </c>
      <c r="C19" s="534"/>
      <c r="D19" s="191"/>
      <c r="E19" s="397">
        <f>SUM(F19:G19)</f>
        <v>15067412</v>
      </c>
      <c r="F19" s="397">
        <f>SUM(F20:F26)+260000</f>
        <v>3013482</v>
      </c>
      <c r="G19" s="397">
        <f>SUM(G20:G26)</f>
        <v>12053930</v>
      </c>
      <c r="H19" s="397">
        <f>SUM(I19,M19)</f>
        <v>203740</v>
      </c>
      <c r="I19" s="397">
        <f>J19+K19+L19</f>
        <v>203740</v>
      </c>
      <c r="J19" s="397">
        <f>SUM(F20)</f>
        <v>203740</v>
      </c>
      <c r="K19" s="397">
        <v>0</v>
      </c>
      <c r="L19" s="397">
        <v>0</v>
      </c>
      <c r="M19" s="397">
        <f>N19+O19+P19+Q19</f>
        <v>0</v>
      </c>
      <c r="N19" s="397">
        <v>0</v>
      </c>
      <c r="O19" s="397">
        <v>0</v>
      </c>
      <c r="P19" s="397">
        <v>0</v>
      </c>
      <c r="Q19" s="397">
        <v>0</v>
      </c>
    </row>
    <row r="20" spans="1:18" ht="11.25" customHeight="1">
      <c r="A20" s="639"/>
      <c r="B20" s="190" t="s">
        <v>316</v>
      </c>
      <c r="C20" s="649">
        <v>23</v>
      </c>
      <c r="D20" s="652" t="s">
        <v>272</v>
      </c>
      <c r="E20" s="397">
        <f aca="true" t="shared" si="1" ref="E20:E25">SUM(F20,G20)</f>
        <v>203740</v>
      </c>
      <c r="F20" s="397">
        <f>388500-184760</f>
        <v>203740</v>
      </c>
      <c r="G20" s="397">
        <v>0</v>
      </c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337"/>
    </row>
    <row r="21" spans="1:17" ht="11.25">
      <c r="A21" s="639"/>
      <c r="B21" s="190" t="s">
        <v>539</v>
      </c>
      <c r="C21" s="650"/>
      <c r="D21" s="653"/>
      <c r="E21" s="397">
        <f t="shared" si="1"/>
        <v>0</v>
      </c>
      <c r="F21" s="397">
        <v>0</v>
      </c>
      <c r="G21" s="397">
        <v>0</v>
      </c>
      <c r="H21" s="670"/>
      <c r="I21" s="670"/>
      <c r="J21" s="670"/>
      <c r="K21" s="670"/>
      <c r="L21" s="670"/>
      <c r="M21" s="670"/>
      <c r="N21" s="670"/>
      <c r="O21" s="670"/>
      <c r="P21" s="670"/>
      <c r="Q21" s="670"/>
    </row>
    <row r="22" spans="1:17" ht="11.25">
      <c r="A22" s="639"/>
      <c r="B22" s="190" t="s">
        <v>540</v>
      </c>
      <c r="C22" s="650"/>
      <c r="D22" s="653"/>
      <c r="E22" s="397">
        <f t="shared" si="1"/>
        <v>2019760</v>
      </c>
      <c r="F22" s="397">
        <f>300940+184760</f>
        <v>485700</v>
      </c>
      <c r="G22" s="397">
        <v>1534060</v>
      </c>
      <c r="H22" s="670"/>
      <c r="I22" s="670"/>
      <c r="J22" s="670"/>
      <c r="K22" s="670"/>
      <c r="L22" s="670"/>
      <c r="M22" s="670"/>
      <c r="N22" s="670"/>
      <c r="O22" s="670"/>
      <c r="P22" s="670"/>
      <c r="Q22" s="670"/>
    </row>
    <row r="23" spans="1:17" ht="11.25">
      <c r="A23" s="639"/>
      <c r="B23" s="190" t="s">
        <v>310</v>
      </c>
      <c r="C23" s="650"/>
      <c r="D23" s="653"/>
      <c r="E23" s="397">
        <f t="shared" si="1"/>
        <v>5771000</v>
      </c>
      <c r="F23" s="397">
        <v>946444</v>
      </c>
      <c r="G23" s="397">
        <v>4824556</v>
      </c>
      <c r="H23" s="670"/>
      <c r="I23" s="670"/>
      <c r="J23" s="670"/>
      <c r="K23" s="670"/>
      <c r="L23" s="670"/>
      <c r="M23" s="670"/>
      <c r="N23" s="670"/>
      <c r="O23" s="670"/>
      <c r="P23" s="670"/>
      <c r="Q23" s="670"/>
    </row>
    <row r="24" spans="1:17" ht="12.75" customHeight="1">
      <c r="A24" s="639"/>
      <c r="B24" s="190" t="s">
        <v>311</v>
      </c>
      <c r="C24" s="650"/>
      <c r="D24" s="653"/>
      <c r="E24" s="397">
        <f t="shared" si="1"/>
        <v>4519000</v>
      </c>
      <c r="F24" s="397">
        <v>741116</v>
      </c>
      <c r="G24" s="397">
        <v>3777884</v>
      </c>
      <c r="H24" s="670"/>
      <c r="I24" s="670"/>
      <c r="J24" s="670"/>
      <c r="K24" s="670"/>
      <c r="L24" s="670"/>
      <c r="M24" s="670"/>
      <c r="N24" s="670"/>
      <c r="O24" s="670"/>
      <c r="P24" s="670"/>
      <c r="Q24" s="670"/>
    </row>
    <row r="25" spans="1:17" ht="11.25">
      <c r="A25" s="639"/>
      <c r="B25" s="190" t="s">
        <v>312</v>
      </c>
      <c r="C25" s="650"/>
      <c r="D25" s="653"/>
      <c r="E25" s="397">
        <f t="shared" si="1"/>
        <v>2293912</v>
      </c>
      <c r="F25" s="397">
        <f>376552-70</f>
        <v>376482</v>
      </c>
      <c r="G25" s="397">
        <v>1917430</v>
      </c>
      <c r="H25" s="670"/>
      <c r="I25" s="670"/>
      <c r="J25" s="670"/>
      <c r="K25" s="670"/>
      <c r="L25" s="670"/>
      <c r="M25" s="670"/>
      <c r="N25" s="670"/>
      <c r="O25" s="670"/>
      <c r="P25" s="670"/>
      <c r="Q25" s="670"/>
    </row>
    <row r="26" spans="1:17" ht="11.25">
      <c r="A26" s="640"/>
      <c r="B26" s="190" t="s">
        <v>312</v>
      </c>
      <c r="C26" s="651"/>
      <c r="D26" s="654"/>
      <c r="E26" s="397"/>
      <c r="F26" s="397"/>
      <c r="G26" s="397"/>
      <c r="H26" s="671"/>
      <c r="I26" s="671"/>
      <c r="J26" s="671"/>
      <c r="K26" s="671"/>
      <c r="L26" s="671"/>
      <c r="M26" s="671"/>
      <c r="N26" s="671"/>
      <c r="O26" s="671"/>
      <c r="P26" s="671"/>
      <c r="Q26" s="671"/>
    </row>
    <row r="27" spans="1:17" ht="12.75">
      <c r="A27" s="638" t="s">
        <v>449</v>
      </c>
      <c r="B27" s="191" t="s">
        <v>257</v>
      </c>
      <c r="C27" s="641" t="s">
        <v>463</v>
      </c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</row>
    <row r="28" spans="1:17" ht="12.75">
      <c r="A28" s="639"/>
      <c r="B28" s="191" t="s">
        <v>258</v>
      </c>
      <c r="C28" s="643" t="s">
        <v>307</v>
      </c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5"/>
    </row>
    <row r="29" spans="1:17" ht="12.75">
      <c r="A29" s="639"/>
      <c r="B29" s="191" t="s">
        <v>259</v>
      </c>
      <c r="C29" s="643" t="s">
        <v>447</v>
      </c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5"/>
    </row>
    <row r="30" spans="1:17" ht="12.75">
      <c r="A30" s="639"/>
      <c r="B30" s="191" t="s">
        <v>260</v>
      </c>
      <c r="C30" s="643" t="s">
        <v>464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60"/>
    </row>
    <row r="31" spans="1:17" ht="11.25">
      <c r="A31" s="639"/>
      <c r="B31" s="191" t="s">
        <v>261</v>
      </c>
      <c r="C31" s="535"/>
      <c r="D31" s="535"/>
      <c r="E31" s="397">
        <f>SUM(F31:G31)</f>
        <v>4721589</v>
      </c>
      <c r="F31" s="397">
        <f>SUM(F32:F33)+5490</f>
        <v>1517058</v>
      </c>
      <c r="G31" s="397">
        <f>SUM(G32:G33)</f>
        <v>3204531</v>
      </c>
      <c r="H31" s="397">
        <f>SUM(I31,M31)</f>
        <v>10980</v>
      </c>
      <c r="I31" s="397">
        <f>J31+K31+L31</f>
        <v>10980</v>
      </c>
      <c r="J31" s="397">
        <v>0</v>
      </c>
      <c r="K31" s="397">
        <v>0</v>
      </c>
      <c r="L31" s="397">
        <f>14703-3723</f>
        <v>10980</v>
      </c>
      <c r="M31" s="397">
        <f>N31+O31+P31+Q31</f>
        <v>0</v>
      </c>
      <c r="N31" s="397">
        <v>0</v>
      </c>
      <c r="O31" s="397"/>
      <c r="P31" s="397">
        <v>0</v>
      </c>
      <c r="Q31" s="397">
        <v>0</v>
      </c>
    </row>
    <row r="32" spans="1:17" ht="11.25">
      <c r="A32" s="639"/>
      <c r="B32" s="191" t="s">
        <v>316</v>
      </c>
      <c r="C32" s="649">
        <v>23</v>
      </c>
      <c r="D32" s="652" t="s">
        <v>272</v>
      </c>
      <c r="E32" s="397">
        <f>SUM(F32,G32)</f>
        <v>10980</v>
      </c>
      <c r="F32" s="397">
        <f>SUM(L31)</f>
        <v>10980</v>
      </c>
      <c r="G32" s="397">
        <f>SUM(M31)</f>
        <v>0</v>
      </c>
      <c r="H32" s="663"/>
      <c r="I32" s="663"/>
      <c r="J32" s="663"/>
      <c r="K32" s="663"/>
      <c r="L32" s="663"/>
      <c r="M32" s="663"/>
      <c r="N32" s="663"/>
      <c r="O32" s="663"/>
      <c r="P32" s="663"/>
      <c r="Q32" s="663"/>
    </row>
    <row r="33" spans="1:17" ht="11.25">
      <c r="A33" s="639"/>
      <c r="B33" s="191" t="s">
        <v>539</v>
      </c>
      <c r="C33" s="650"/>
      <c r="D33" s="653"/>
      <c r="E33" s="397">
        <f>SUM(F33,G33)</f>
        <v>4705119</v>
      </c>
      <c r="F33" s="397">
        <f>1496865+3723</f>
        <v>1500588</v>
      </c>
      <c r="G33" s="397">
        <f>3170224+34307</f>
        <v>3204531</v>
      </c>
      <c r="H33" s="664"/>
      <c r="I33" s="664"/>
      <c r="J33" s="664"/>
      <c r="K33" s="664"/>
      <c r="L33" s="664"/>
      <c r="M33" s="664"/>
      <c r="N33" s="664"/>
      <c r="O33" s="664"/>
      <c r="P33" s="664"/>
      <c r="Q33" s="664"/>
    </row>
    <row r="34" spans="1:17" ht="11.25">
      <c r="A34" s="639"/>
      <c r="B34" s="191" t="s">
        <v>540</v>
      </c>
      <c r="C34" s="650"/>
      <c r="D34" s="653"/>
      <c r="E34" s="397">
        <f>SUM(F34,G34)</f>
        <v>0</v>
      </c>
      <c r="F34" s="397"/>
      <c r="G34" s="397"/>
      <c r="H34" s="664"/>
      <c r="I34" s="664"/>
      <c r="J34" s="664"/>
      <c r="K34" s="664"/>
      <c r="L34" s="664"/>
      <c r="M34" s="664"/>
      <c r="N34" s="664"/>
      <c r="O34" s="664"/>
      <c r="P34" s="664"/>
      <c r="Q34" s="664"/>
    </row>
    <row r="35" spans="1:17" ht="11.25">
      <c r="A35" s="639"/>
      <c r="B35" s="191" t="s">
        <v>310</v>
      </c>
      <c r="C35" s="650"/>
      <c r="D35" s="653"/>
      <c r="E35" s="397">
        <f>SUM(F35,G35)</f>
        <v>0</v>
      </c>
      <c r="F35" s="397"/>
      <c r="G35" s="397"/>
      <c r="H35" s="665"/>
      <c r="I35" s="665"/>
      <c r="J35" s="665"/>
      <c r="K35" s="665"/>
      <c r="L35" s="665"/>
      <c r="M35" s="665"/>
      <c r="N35" s="665"/>
      <c r="O35" s="665"/>
      <c r="P35" s="665"/>
      <c r="Q35" s="665"/>
    </row>
    <row r="36" spans="1:17" ht="11.25">
      <c r="A36" s="640"/>
      <c r="B36" s="191" t="s">
        <v>311</v>
      </c>
      <c r="C36" s="651"/>
      <c r="D36" s="654"/>
      <c r="E36" s="537"/>
      <c r="F36" s="537"/>
      <c r="G36" s="537"/>
      <c r="H36" s="536"/>
      <c r="I36" s="536"/>
      <c r="J36" s="536"/>
      <c r="K36" s="536"/>
      <c r="L36" s="536"/>
      <c r="M36" s="536"/>
      <c r="N36" s="536"/>
      <c r="O36" s="536"/>
      <c r="P36" s="536"/>
      <c r="Q36" s="536"/>
    </row>
    <row r="37" spans="1:17" s="119" customFormat="1" ht="12.75">
      <c r="A37" s="638" t="s">
        <v>263</v>
      </c>
      <c r="B37" s="191" t="s">
        <v>257</v>
      </c>
      <c r="C37" s="641" t="s">
        <v>463</v>
      </c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</row>
    <row r="38" spans="1:17" s="119" customFormat="1" ht="15" customHeight="1">
      <c r="A38" s="639"/>
      <c r="B38" s="191" t="s">
        <v>258</v>
      </c>
      <c r="C38" s="643" t="s">
        <v>307</v>
      </c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5"/>
    </row>
    <row r="39" spans="1:17" s="119" customFormat="1" ht="11.25" customHeight="1">
      <c r="A39" s="639"/>
      <c r="B39" s="191" t="s">
        <v>259</v>
      </c>
      <c r="C39" s="643" t="s">
        <v>308</v>
      </c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5"/>
    </row>
    <row r="40" spans="1:17" s="119" customFormat="1" ht="12.75">
      <c r="A40" s="640"/>
      <c r="B40" s="191" t="s">
        <v>260</v>
      </c>
      <c r="C40" s="646" t="s">
        <v>340</v>
      </c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2"/>
    </row>
    <row r="41" spans="1:17" s="119" customFormat="1" ht="11.25">
      <c r="A41" s="638" t="s">
        <v>263</v>
      </c>
      <c r="B41" s="191" t="s">
        <v>261</v>
      </c>
      <c r="C41" s="535"/>
      <c r="D41" s="535"/>
      <c r="E41" s="397">
        <f>SUM(E42:E45)</f>
        <v>2890720</v>
      </c>
      <c r="F41" s="397">
        <f>SUM(F42:F45)</f>
        <v>658144</v>
      </c>
      <c r="G41" s="397">
        <f>SUM(G42:G45)</f>
        <v>2232576</v>
      </c>
      <c r="H41" s="397">
        <f>SUM(I41,M41)</f>
        <v>36600</v>
      </c>
      <c r="I41" s="397">
        <f>J41+K41+L41</f>
        <v>36600</v>
      </c>
      <c r="J41" s="397">
        <f>SUM(F42)</f>
        <v>36600</v>
      </c>
      <c r="K41" s="397">
        <v>0</v>
      </c>
      <c r="L41" s="397">
        <v>0</v>
      </c>
      <c r="M41" s="397">
        <f>N41+O41+P41+Q41</f>
        <v>0</v>
      </c>
      <c r="N41" s="397">
        <v>0</v>
      </c>
      <c r="O41" s="397"/>
      <c r="P41" s="397">
        <v>0</v>
      </c>
      <c r="Q41" s="397">
        <v>0</v>
      </c>
    </row>
    <row r="42" spans="1:17" s="119" customFormat="1" ht="11.25">
      <c r="A42" s="639"/>
      <c r="B42" s="191" t="s">
        <v>316</v>
      </c>
      <c r="C42" s="649">
        <v>23</v>
      </c>
      <c r="D42" s="652" t="s">
        <v>272</v>
      </c>
      <c r="E42" s="397">
        <f>SUM(F42,G42)</f>
        <v>36600</v>
      </c>
      <c r="F42" s="397">
        <f>100000-63400</f>
        <v>36600</v>
      </c>
      <c r="G42" s="397">
        <v>0</v>
      </c>
      <c r="H42" s="663"/>
      <c r="I42" s="663"/>
      <c r="J42" s="663"/>
      <c r="K42" s="663"/>
      <c r="L42" s="663"/>
      <c r="M42" s="663"/>
      <c r="N42" s="663"/>
      <c r="O42" s="663"/>
      <c r="P42" s="663"/>
      <c r="Q42" s="663"/>
    </row>
    <row r="43" spans="1:17" s="119" customFormat="1" ht="11.25">
      <c r="A43" s="639"/>
      <c r="B43" s="191" t="s">
        <v>539</v>
      </c>
      <c r="C43" s="650"/>
      <c r="D43" s="653"/>
      <c r="E43" s="397">
        <f>SUM(F43,G43)</f>
        <v>993400</v>
      </c>
      <c r="F43" s="397">
        <f>186000+63400</f>
        <v>249400</v>
      </c>
      <c r="G43" s="397">
        <v>744000</v>
      </c>
      <c r="H43" s="664"/>
      <c r="I43" s="664"/>
      <c r="J43" s="664"/>
      <c r="K43" s="664"/>
      <c r="L43" s="664"/>
      <c r="M43" s="664"/>
      <c r="N43" s="664"/>
      <c r="O43" s="664"/>
      <c r="P43" s="664"/>
      <c r="Q43" s="664"/>
    </row>
    <row r="44" spans="1:17" s="119" customFormat="1" ht="11.25">
      <c r="A44" s="639"/>
      <c r="B44" s="191" t="s">
        <v>540</v>
      </c>
      <c r="C44" s="650"/>
      <c r="D44" s="653"/>
      <c r="E44" s="397">
        <f>SUM(F44,G44)</f>
        <v>930000</v>
      </c>
      <c r="F44" s="397">
        <v>186000</v>
      </c>
      <c r="G44" s="397">
        <v>744000</v>
      </c>
      <c r="H44" s="664"/>
      <c r="I44" s="664"/>
      <c r="J44" s="664"/>
      <c r="K44" s="664"/>
      <c r="L44" s="664"/>
      <c r="M44" s="664"/>
      <c r="N44" s="664"/>
      <c r="O44" s="664"/>
      <c r="P44" s="664"/>
      <c r="Q44" s="664"/>
    </row>
    <row r="45" spans="1:17" s="119" customFormat="1" ht="11.25">
      <c r="A45" s="639"/>
      <c r="B45" s="191" t="s">
        <v>310</v>
      </c>
      <c r="C45" s="650"/>
      <c r="D45" s="653"/>
      <c r="E45" s="397">
        <f>SUM(F45,G45)</f>
        <v>930720</v>
      </c>
      <c r="F45" s="397">
        <v>186144</v>
      </c>
      <c r="G45" s="397">
        <v>744576</v>
      </c>
      <c r="H45" s="665"/>
      <c r="I45" s="665"/>
      <c r="J45" s="665"/>
      <c r="K45" s="665"/>
      <c r="L45" s="665"/>
      <c r="M45" s="665"/>
      <c r="N45" s="665"/>
      <c r="O45" s="665"/>
      <c r="P45" s="665"/>
      <c r="Q45" s="665"/>
    </row>
    <row r="46" spans="1:17" s="119" customFormat="1" ht="11.25">
      <c r="A46" s="640"/>
      <c r="B46" s="191" t="s">
        <v>311</v>
      </c>
      <c r="C46" s="651"/>
      <c r="D46" s="654"/>
      <c r="E46" s="537"/>
      <c r="F46" s="537"/>
      <c r="G46" s="537"/>
      <c r="H46" s="536"/>
      <c r="I46" s="536"/>
      <c r="J46" s="536"/>
      <c r="K46" s="536"/>
      <c r="L46" s="536"/>
      <c r="M46" s="536"/>
      <c r="N46" s="536"/>
      <c r="O46" s="536"/>
      <c r="P46" s="536"/>
      <c r="Q46" s="536"/>
    </row>
    <row r="47" spans="1:17" s="119" customFormat="1" ht="12.75">
      <c r="A47" s="638" t="s">
        <v>266</v>
      </c>
      <c r="B47" s="191" t="s">
        <v>257</v>
      </c>
      <c r="C47" s="641" t="s">
        <v>463</v>
      </c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</row>
    <row r="48" spans="1:17" s="119" customFormat="1" ht="11.25" customHeight="1">
      <c r="A48" s="639"/>
      <c r="B48" s="191" t="s">
        <v>258</v>
      </c>
      <c r="C48" s="643" t="s">
        <v>307</v>
      </c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5"/>
    </row>
    <row r="49" spans="1:17" s="119" customFormat="1" ht="12.75">
      <c r="A49" s="639"/>
      <c r="B49" s="191" t="s">
        <v>259</v>
      </c>
      <c r="C49" s="643" t="s">
        <v>308</v>
      </c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5"/>
    </row>
    <row r="50" spans="1:17" s="119" customFormat="1" ht="12.75">
      <c r="A50" s="639"/>
      <c r="B50" s="191" t="s">
        <v>260</v>
      </c>
      <c r="C50" s="646" t="s">
        <v>313</v>
      </c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8"/>
    </row>
    <row r="51" spans="1:17" s="119" customFormat="1" ht="11.25">
      <c r="A51" s="639"/>
      <c r="B51" s="191" t="s">
        <v>261</v>
      </c>
      <c r="C51" s="649">
        <v>23</v>
      </c>
      <c r="D51" s="652" t="s">
        <v>272</v>
      </c>
      <c r="E51" s="397">
        <f>SUM(F51:G51)</f>
        <v>5552030</v>
      </c>
      <c r="F51" s="397">
        <f>SUM(F52:F54)+114986</f>
        <v>1749862</v>
      </c>
      <c r="G51" s="397">
        <f>SUM(G52:G54)</f>
        <v>3802168</v>
      </c>
      <c r="H51" s="398">
        <f>SUM(I51,M51)</f>
        <v>28670</v>
      </c>
      <c r="I51" s="398">
        <f>J51+K51+L51</f>
        <v>28670</v>
      </c>
      <c r="J51" s="398">
        <v>0</v>
      </c>
      <c r="K51" s="398">
        <v>0</v>
      </c>
      <c r="L51" s="398">
        <f>750000-721330</f>
        <v>28670</v>
      </c>
      <c r="M51" s="398">
        <f>N51+O51+P51+Q51</f>
        <v>0</v>
      </c>
      <c r="N51" s="398">
        <v>0</v>
      </c>
      <c r="O51" s="398"/>
      <c r="P51" s="398">
        <v>0</v>
      </c>
      <c r="Q51" s="398">
        <v>0</v>
      </c>
    </row>
    <row r="52" spans="1:17" s="120" customFormat="1" ht="21.75" customHeight="1">
      <c r="A52" s="639"/>
      <c r="B52" s="191" t="s">
        <v>316</v>
      </c>
      <c r="C52" s="650"/>
      <c r="D52" s="653"/>
      <c r="E52" s="397">
        <f>SUM(F52:G52)</f>
        <v>28670</v>
      </c>
      <c r="F52" s="397">
        <f>SUM(I51)</f>
        <v>28670</v>
      </c>
      <c r="G52" s="399">
        <f>SUM(M51)</f>
        <v>0</v>
      </c>
      <c r="H52" s="400"/>
      <c r="I52" s="400"/>
      <c r="J52" s="400"/>
      <c r="K52" s="400"/>
      <c r="L52" s="400"/>
      <c r="M52" s="401"/>
      <c r="N52" s="402"/>
      <c r="O52" s="402"/>
      <c r="P52" s="402"/>
      <c r="Q52" s="402"/>
    </row>
    <row r="53" spans="1:17" s="119" customFormat="1" ht="15" customHeight="1">
      <c r="A53" s="639"/>
      <c r="B53" s="191" t="s">
        <v>539</v>
      </c>
      <c r="C53" s="650"/>
      <c r="D53" s="653"/>
      <c r="E53" s="397">
        <f>SUM(F53,G53)</f>
        <v>5408374</v>
      </c>
      <c r="F53" s="397">
        <f>884876+721330</f>
        <v>1606206</v>
      </c>
      <c r="G53" s="399">
        <f>1940288+1861880</f>
        <v>3802168</v>
      </c>
      <c r="H53" s="403"/>
      <c r="I53" s="403"/>
      <c r="J53" s="403"/>
      <c r="K53" s="403"/>
      <c r="L53" s="403"/>
      <c r="M53" s="404"/>
      <c r="N53" s="405"/>
      <c r="O53" s="405"/>
      <c r="P53" s="405"/>
      <c r="Q53" s="405"/>
    </row>
    <row r="54" spans="1:17" s="119" customFormat="1" ht="13.5" customHeight="1">
      <c r="A54" s="639"/>
      <c r="B54" s="191" t="s">
        <v>540</v>
      </c>
      <c r="C54" s="650"/>
      <c r="D54" s="653"/>
      <c r="E54" s="397">
        <f>SUM(F54,G54)</f>
        <v>0</v>
      </c>
      <c r="F54" s="397">
        <v>0</v>
      </c>
      <c r="G54" s="399">
        <v>0</v>
      </c>
      <c r="H54" s="403"/>
      <c r="I54" s="403"/>
      <c r="J54" s="403"/>
      <c r="K54" s="403"/>
      <c r="L54" s="403"/>
      <c r="M54" s="404"/>
      <c r="N54" s="405"/>
      <c r="O54" s="405"/>
      <c r="P54" s="405"/>
      <c r="Q54" s="405"/>
    </row>
    <row r="55" spans="1:17" s="119" customFormat="1" ht="12.75" customHeight="1">
      <c r="A55" s="639"/>
      <c r="B55" s="191" t="s">
        <v>310</v>
      </c>
      <c r="C55" s="650"/>
      <c r="D55" s="653"/>
      <c r="E55" s="397">
        <f>SUM(F55,G55)</f>
        <v>0</v>
      </c>
      <c r="F55" s="397">
        <v>0</v>
      </c>
      <c r="G55" s="399">
        <v>0</v>
      </c>
      <c r="H55" s="403"/>
      <c r="I55" s="403"/>
      <c r="J55" s="403"/>
      <c r="K55" s="403"/>
      <c r="L55" s="403"/>
      <c r="M55" s="404"/>
      <c r="N55" s="405"/>
      <c r="O55" s="405"/>
      <c r="P55" s="405"/>
      <c r="Q55" s="405"/>
    </row>
    <row r="56" spans="1:17" s="119" customFormat="1" ht="12.75" customHeight="1">
      <c r="A56" s="640"/>
      <c r="B56" s="191" t="s">
        <v>311</v>
      </c>
      <c r="C56" s="651"/>
      <c r="D56" s="654"/>
      <c r="E56" s="397">
        <f>SUM(F56,G56)</f>
        <v>0</v>
      </c>
      <c r="F56" s="397">
        <v>0</v>
      </c>
      <c r="G56" s="399">
        <v>0</v>
      </c>
      <c r="H56" s="406"/>
      <c r="I56" s="406"/>
      <c r="J56" s="406"/>
      <c r="K56" s="406"/>
      <c r="L56" s="406"/>
      <c r="M56" s="407"/>
      <c r="N56" s="408"/>
      <c r="O56" s="408"/>
      <c r="P56" s="408"/>
      <c r="Q56" s="408"/>
    </row>
    <row r="57" spans="1:17" s="119" customFormat="1" ht="12.75" customHeight="1">
      <c r="A57" s="638" t="s">
        <v>459</v>
      </c>
      <c r="B57" s="191" t="s">
        <v>257</v>
      </c>
      <c r="C57" s="641" t="s">
        <v>463</v>
      </c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</row>
    <row r="58" spans="1:17" s="119" customFormat="1" ht="12.75" customHeight="1">
      <c r="A58" s="639"/>
      <c r="B58" s="191" t="s">
        <v>258</v>
      </c>
      <c r="C58" s="643" t="s">
        <v>307</v>
      </c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  <c r="Q58" s="660"/>
    </row>
    <row r="59" spans="1:17" s="119" customFormat="1" ht="12.75" customHeight="1">
      <c r="A59" s="639"/>
      <c r="B59" s="191" t="s">
        <v>259</v>
      </c>
      <c r="C59" s="643" t="s">
        <v>465</v>
      </c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60"/>
    </row>
    <row r="60" spans="1:17" s="119" customFormat="1" ht="12.75" customHeight="1">
      <c r="A60" s="639"/>
      <c r="B60" s="191" t="s">
        <v>260</v>
      </c>
      <c r="C60" s="646" t="s">
        <v>466</v>
      </c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2"/>
    </row>
    <row r="61" spans="1:17" s="119" customFormat="1" ht="12.75" customHeight="1">
      <c r="A61" s="639"/>
      <c r="B61" s="191" t="s">
        <v>261</v>
      </c>
      <c r="C61" s="649">
        <v>23</v>
      </c>
      <c r="D61" s="652" t="s">
        <v>272</v>
      </c>
      <c r="E61" s="397">
        <f>SUM(F61:G61)</f>
        <v>4223547</v>
      </c>
      <c r="F61" s="397">
        <f>SUM(F62:F63)</f>
        <v>1761261</v>
      </c>
      <c r="G61" s="397">
        <f>SUM(G62:G64)</f>
        <v>2462286</v>
      </c>
      <c r="H61" s="398">
        <f>SUM(I61,M61)</f>
        <v>40260</v>
      </c>
      <c r="I61" s="398">
        <f>J61+K61+L61</f>
        <v>40260</v>
      </c>
      <c r="J61" s="398">
        <v>0</v>
      </c>
      <c r="K61" s="398">
        <v>0</v>
      </c>
      <c r="L61" s="397">
        <f>164400-124140</f>
        <v>40260</v>
      </c>
      <c r="M61" s="398">
        <f>N61+O61+P61+Q61</f>
        <v>0</v>
      </c>
      <c r="N61" s="398">
        <v>0</v>
      </c>
      <c r="O61" s="398"/>
      <c r="P61" s="398">
        <v>0</v>
      </c>
      <c r="Q61" s="397">
        <v>0</v>
      </c>
    </row>
    <row r="62" spans="1:17" s="119" customFormat="1" ht="12.75" customHeight="1">
      <c r="A62" s="639"/>
      <c r="B62" s="191" t="s">
        <v>316</v>
      </c>
      <c r="C62" s="650"/>
      <c r="D62" s="653"/>
      <c r="E62" s="397">
        <f>SUM(F62:G62)</f>
        <v>40260</v>
      </c>
      <c r="F62" s="397">
        <f>SUM(L61)</f>
        <v>40260</v>
      </c>
      <c r="G62" s="399">
        <f>SUM(Q61)</f>
        <v>0</v>
      </c>
      <c r="H62" s="400"/>
      <c r="I62" s="400"/>
      <c r="J62" s="400"/>
      <c r="K62" s="400"/>
      <c r="L62" s="400"/>
      <c r="M62" s="401"/>
      <c r="N62" s="402"/>
      <c r="O62" s="402"/>
      <c r="P62" s="402"/>
      <c r="Q62" s="402"/>
    </row>
    <row r="63" spans="1:17" s="119" customFormat="1" ht="12.75" customHeight="1">
      <c r="A63" s="639"/>
      <c r="B63" s="191" t="s">
        <v>539</v>
      </c>
      <c r="C63" s="650"/>
      <c r="D63" s="653"/>
      <c r="E63" s="397">
        <f>SUM(F63,G63)</f>
        <v>4183287</v>
      </c>
      <c r="F63" s="397">
        <f>1596861+124140</f>
        <v>1721001</v>
      </c>
      <c r="G63" s="397">
        <f>2078691+383595</f>
        <v>2462286</v>
      </c>
      <c r="H63" s="403"/>
      <c r="I63" s="403"/>
      <c r="J63" s="403"/>
      <c r="K63" s="403"/>
      <c r="L63" s="403"/>
      <c r="M63" s="404"/>
      <c r="N63" s="405"/>
      <c r="O63" s="405"/>
      <c r="P63" s="405"/>
      <c r="Q63" s="405"/>
    </row>
    <row r="64" spans="1:17" s="119" customFormat="1" ht="12.75" customHeight="1">
      <c r="A64" s="639"/>
      <c r="B64" s="191" t="s">
        <v>540</v>
      </c>
      <c r="C64" s="650"/>
      <c r="D64" s="653"/>
      <c r="E64" s="397">
        <f>SUM(F64,G64)</f>
        <v>0</v>
      </c>
      <c r="F64" s="397">
        <v>0</v>
      </c>
      <c r="G64" s="399">
        <v>0</v>
      </c>
      <c r="H64" s="403"/>
      <c r="I64" s="403"/>
      <c r="J64" s="403"/>
      <c r="K64" s="403"/>
      <c r="L64" s="403"/>
      <c r="M64" s="404"/>
      <c r="N64" s="405"/>
      <c r="O64" s="405"/>
      <c r="P64" s="405"/>
      <c r="Q64" s="405"/>
    </row>
    <row r="65" spans="1:17" s="119" customFormat="1" ht="12.75" customHeight="1">
      <c r="A65" s="639"/>
      <c r="B65" s="191" t="s">
        <v>310</v>
      </c>
      <c r="C65" s="650"/>
      <c r="D65" s="653"/>
      <c r="E65" s="397">
        <f>SUM(F65,G65)</f>
        <v>0</v>
      </c>
      <c r="F65" s="397">
        <v>0</v>
      </c>
      <c r="G65" s="399">
        <v>0</v>
      </c>
      <c r="H65" s="403"/>
      <c r="I65" s="403"/>
      <c r="J65" s="403"/>
      <c r="K65" s="403"/>
      <c r="L65" s="403"/>
      <c r="M65" s="404"/>
      <c r="N65" s="405"/>
      <c r="O65" s="405"/>
      <c r="P65" s="405"/>
      <c r="Q65" s="405"/>
    </row>
    <row r="66" spans="1:17" s="119" customFormat="1" ht="12.75" customHeight="1">
      <c r="A66" s="640"/>
      <c r="B66" s="191" t="s">
        <v>311</v>
      </c>
      <c r="C66" s="651"/>
      <c r="D66" s="654"/>
      <c r="E66" s="397">
        <f>SUM(F66,G66)</f>
        <v>0</v>
      </c>
      <c r="F66" s="397">
        <v>0</v>
      </c>
      <c r="G66" s="399">
        <v>0</v>
      </c>
      <c r="H66" s="406"/>
      <c r="I66" s="406"/>
      <c r="J66" s="406"/>
      <c r="K66" s="406"/>
      <c r="L66" s="406"/>
      <c r="M66" s="407"/>
      <c r="N66" s="408"/>
      <c r="O66" s="408"/>
      <c r="P66" s="408"/>
      <c r="Q66" s="408"/>
    </row>
    <row r="67" spans="1:17" s="119" customFormat="1" ht="12.75">
      <c r="A67" s="638" t="s">
        <v>467</v>
      </c>
      <c r="B67" s="191" t="s">
        <v>257</v>
      </c>
      <c r="C67" s="641" t="s">
        <v>463</v>
      </c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</row>
    <row r="68" spans="1:17" s="119" customFormat="1" ht="11.25" customHeight="1">
      <c r="A68" s="639"/>
      <c r="B68" s="191" t="s">
        <v>258</v>
      </c>
      <c r="C68" s="643" t="s">
        <v>453</v>
      </c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5"/>
    </row>
    <row r="69" spans="1:17" s="119" customFormat="1" ht="12.75">
      <c r="A69" s="639"/>
      <c r="B69" s="191" t="s">
        <v>259</v>
      </c>
      <c r="C69" s="643" t="s">
        <v>452</v>
      </c>
      <c r="D69" s="644"/>
      <c r="E69" s="644"/>
      <c r="F69" s="644"/>
      <c r="G69" s="644"/>
      <c r="H69" s="644"/>
      <c r="I69" s="644"/>
      <c r="J69" s="644"/>
      <c r="K69" s="644"/>
      <c r="L69" s="644"/>
      <c r="M69" s="644"/>
      <c r="N69" s="644"/>
      <c r="O69" s="644"/>
      <c r="P69" s="644"/>
      <c r="Q69" s="645"/>
    </row>
    <row r="70" spans="1:17" s="119" customFormat="1" ht="12.75">
      <c r="A70" s="639"/>
      <c r="B70" s="191" t="s">
        <v>260</v>
      </c>
      <c r="C70" s="646" t="s">
        <v>451</v>
      </c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8"/>
    </row>
    <row r="71" spans="1:17" s="119" customFormat="1" ht="11.25">
      <c r="A71" s="640"/>
      <c r="B71" s="191" t="s">
        <v>261</v>
      </c>
      <c r="C71" s="430">
        <v>57</v>
      </c>
      <c r="D71" s="431"/>
      <c r="E71" s="397">
        <f>SUM(F71:G71)</f>
        <v>12470</v>
      </c>
      <c r="F71" s="397">
        <f>SUM(F72:F73)</f>
        <v>12470</v>
      </c>
      <c r="G71" s="397">
        <f>SUM(G72:G74)</f>
        <v>0</v>
      </c>
      <c r="H71" s="397">
        <f>SUM(I71,M71)</f>
        <v>0</v>
      </c>
      <c r="I71" s="397">
        <f>J71+K71+L71</f>
        <v>0</v>
      </c>
      <c r="J71" s="397">
        <v>0</v>
      </c>
      <c r="K71" s="397">
        <v>0</v>
      </c>
      <c r="L71" s="397">
        <v>0</v>
      </c>
      <c r="M71" s="397">
        <f>N71+O71+P71+Q71</f>
        <v>0</v>
      </c>
      <c r="N71" s="397">
        <v>0</v>
      </c>
      <c r="O71" s="397"/>
      <c r="P71" s="397">
        <v>0</v>
      </c>
      <c r="Q71" s="397">
        <v>0</v>
      </c>
    </row>
    <row r="72" spans="1:17" s="120" customFormat="1" ht="21.75" customHeight="1">
      <c r="A72" s="638" t="s">
        <v>467</v>
      </c>
      <c r="B72" s="191" t="s">
        <v>316</v>
      </c>
      <c r="C72" s="649">
        <v>57</v>
      </c>
      <c r="D72" s="652" t="s">
        <v>454</v>
      </c>
      <c r="E72" s="397">
        <f>SUM(F72:G72)</f>
        <v>0</v>
      </c>
      <c r="F72" s="397">
        <f>SUM(I71)</f>
        <v>0</v>
      </c>
      <c r="G72" s="399">
        <f>SUM(M71)</f>
        <v>0</v>
      </c>
      <c r="H72" s="400"/>
      <c r="I72" s="400"/>
      <c r="J72" s="400"/>
      <c r="K72" s="400"/>
      <c r="L72" s="400"/>
      <c r="M72" s="401"/>
      <c r="N72" s="402"/>
      <c r="O72" s="402"/>
      <c r="P72" s="402"/>
      <c r="Q72" s="402"/>
    </row>
    <row r="73" spans="1:17" s="119" customFormat="1" ht="15" customHeight="1">
      <c r="A73" s="639"/>
      <c r="B73" s="191" t="s">
        <v>539</v>
      </c>
      <c r="C73" s="650"/>
      <c r="D73" s="653"/>
      <c r="E73" s="397">
        <f>SUM(F73,G73)</f>
        <v>12470</v>
      </c>
      <c r="F73" s="397">
        <f>12170+300</f>
        <v>12470</v>
      </c>
      <c r="G73" s="399">
        <v>0</v>
      </c>
      <c r="H73" s="403"/>
      <c r="I73" s="403"/>
      <c r="J73" s="403"/>
      <c r="K73" s="403"/>
      <c r="L73" s="403"/>
      <c r="M73" s="404"/>
      <c r="N73" s="405"/>
      <c r="O73" s="405"/>
      <c r="P73" s="405"/>
      <c r="Q73" s="405"/>
    </row>
    <row r="74" spans="1:17" s="119" customFormat="1" ht="13.5" customHeight="1">
      <c r="A74" s="639"/>
      <c r="B74" s="191" t="s">
        <v>540</v>
      </c>
      <c r="C74" s="650"/>
      <c r="D74" s="653"/>
      <c r="E74" s="397">
        <f>SUM(F74,G74)</f>
        <v>0</v>
      </c>
      <c r="F74" s="397">
        <v>0</v>
      </c>
      <c r="G74" s="399">
        <v>0</v>
      </c>
      <c r="H74" s="403"/>
      <c r="I74" s="403"/>
      <c r="J74" s="403"/>
      <c r="K74" s="403"/>
      <c r="L74" s="403"/>
      <c r="M74" s="404"/>
      <c r="N74" s="405"/>
      <c r="O74" s="405"/>
      <c r="P74" s="405"/>
      <c r="Q74" s="405"/>
    </row>
    <row r="75" spans="1:17" s="119" customFormat="1" ht="12.75" customHeight="1">
      <c r="A75" s="639"/>
      <c r="B75" s="191" t="s">
        <v>310</v>
      </c>
      <c r="C75" s="650"/>
      <c r="D75" s="653"/>
      <c r="E75" s="397">
        <f>SUM(F75,G75)</f>
        <v>0</v>
      </c>
      <c r="F75" s="397">
        <v>0</v>
      </c>
      <c r="G75" s="399">
        <v>0</v>
      </c>
      <c r="H75" s="403"/>
      <c r="I75" s="403"/>
      <c r="J75" s="403"/>
      <c r="K75" s="403"/>
      <c r="L75" s="403"/>
      <c r="M75" s="404"/>
      <c r="N75" s="405"/>
      <c r="O75" s="405"/>
      <c r="P75" s="405"/>
      <c r="Q75" s="405"/>
    </row>
    <row r="76" spans="1:17" s="119" customFormat="1" ht="12.75" customHeight="1">
      <c r="A76" s="640"/>
      <c r="B76" s="191" t="s">
        <v>311</v>
      </c>
      <c r="C76" s="651"/>
      <c r="D76" s="654"/>
      <c r="E76" s="397">
        <f>SUM(F76,G76)</f>
        <v>0</v>
      </c>
      <c r="F76" s="397">
        <v>0</v>
      </c>
      <c r="G76" s="399">
        <v>0</v>
      </c>
      <c r="H76" s="406"/>
      <c r="I76" s="406"/>
      <c r="J76" s="406"/>
      <c r="K76" s="406"/>
      <c r="L76" s="406"/>
      <c r="M76" s="407"/>
      <c r="N76" s="408"/>
      <c r="O76" s="408"/>
      <c r="P76" s="408"/>
      <c r="Q76" s="408"/>
    </row>
    <row r="77" spans="1:17" s="119" customFormat="1" ht="12.75">
      <c r="A77" s="638" t="s">
        <v>525</v>
      </c>
      <c r="B77" s="191" t="s">
        <v>257</v>
      </c>
      <c r="C77" s="641" t="s">
        <v>479</v>
      </c>
      <c r="D77" s="642"/>
      <c r="E77" s="642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</row>
    <row r="78" spans="1:17" s="119" customFormat="1" ht="11.25" customHeight="1">
      <c r="A78" s="639"/>
      <c r="B78" s="191" t="s">
        <v>258</v>
      </c>
      <c r="C78" s="643" t="s">
        <v>480</v>
      </c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5"/>
    </row>
    <row r="79" spans="1:17" s="119" customFormat="1" ht="12.75">
      <c r="A79" s="639"/>
      <c r="B79" s="191" t="s">
        <v>259</v>
      </c>
      <c r="C79" s="643"/>
      <c r="D79" s="644"/>
      <c r="E79" s="644"/>
      <c r="F79" s="644"/>
      <c r="G79" s="644"/>
      <c r="H79" s="644"/>
      <c r="I79" s="644"/>
      <c r="J79" s="644"/>
      <c r="K79" s="644"/>
      <c r="L79" s="644"/>
      <c r="M79" s="644"/>
      <c r="N79" s="644"/>
      <c r="O79" s="644"/>
      <c r="P79" s="644"/>
      <c r="Q79" s="645"/>
    </row>
    <row r="80" spans="1:17" s="119" customFormat="1" ht="12.75">
      <c r="A80" s="639"/>
      <c r="B80" s="191" t="s">
        <v>260</v>
      </c>
      <c r="C80" s="646" t="s">
        <v>481</v>
      </c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8"/>
    </row>
    <row r="81" spans="1:17" s="119" customFormat="1" ht="11.25">
      <c r="A81" s="639"/>
      <c r="B81" s="191" t="s">
        <v>261</v>
      </c>
      <c r="C81" s="443"/>
      <c r="D81" s="431"/>
      <c r="E81" s="397">
        <f>SUM(F81:G81)</f>
        <v>121515</v>
      </c>
      <c r="F81" s="397">
        <f>SUM(F82:F83)</f>
        <v>121515</v>
      </c>
      <c r="G81" s="397">
        <f>SUM(G82:G84)</f>
        <v>0</v>
      </c>
      <c r="H81" s="397">
        <f>SUM(I81,M81)</f>
        <v>121515</v>
      </c>
      <c r="I81" s="397">
        <f>J81+K81+L81</f>
        <v>121515</v>
      </c>
      <c r="J81" s="397">
        <v>0</v>
      </c>
      <c r="K81" s="397">
        <v>0</v>
      </c>
      <c r="L81" s="397">
        <v>121515</v>
      </c>
      <c r="M81" s="397">
        <f>N81+O81+P81+Q81</f>
        <v>0</v>
      </c>
      <c r="N81" s="397">
        <v>0</v>
      </c>
      <c r="O81" s="397"/>
      <c r="P81" s="397">
        <v>0</v>
      </c>
      <c r="Q81" s="397">
        <v>0</v>
      </c>
    </row>
    <row r="82" spans="1:17" s="120" customFormat="1" ht="21.75" customHeight="1">
      <c r="A82" s="639"/>
      <c r="B82" s="191" t="s">
        <v>316</v>
      </c>
      <c r="C82" s="655"/>
      <c r="D82" s="652" t="s">
        <v>478</v>
      </c>
      <c r="E82" s="397">
        <f>SUM(F82:G82)</f>
        <v>121515</v>
      </c>
      <c r="F82" s="397">
        <f>SUM(I81)</f>
        <v>121515</v>
      </c>
      <c r="G82" s="399">
        <f>SUM(M81)</f>
        <v>0</v>
      </c>
      <c r="H82" s="400"/>
      <c r="I82" s="400"/>
      <c r="J82" s="400"/>
      <c r="K82" s="400"/>
      <c r="L82" s="400"/>
      <c r="M82" s="401"/>
      <c r="N82" s="402"/>
      <c r="O82" s="402"/>
      <c r="P82" s="405"/>
      <c r="Q82" s="405"/>
    </row>
    <row r="83" spans="1:17" s="119" customFormat="1" ht="15" customHeight="1">
      <c r="A83" s="639"/>
      <c r="B83" s="191" t="s">
        <v>539</v>
      </c>
      <c r="C83" s="656"/>
      <c r="D83" s="653"/>
      <c r="E83" s="397">
        <f>SUM(F83,G83)</f>
        <v>0</v>
      </c>
      <c r="F83" s="397">
        <v>0</v>
      </c>
      <c r="G83" s="399">
        <v>0</v>
      </c>
      <c r="H83" s="403"/>
      <c r="I83" s="403"/>
      <c r="J83" s="403"/>
      <c r="K83" s="403"/>
      <c r="L83" s="403"/>
      <c r="M83" s="404"/>
      <c r="N83" s="405"/>
      <c r="O83" s="405"/>
      <c r="P83" s="405"/>
      <c r="Q83" s="405"/>
    </row>
    <row r="84" spans="1:17" s="119" customFormat="1" ht="13.5" customHeight="1">
      <c r="A84" s="639"/>
      <c r="B84" s="191" t="s">
        <v>540</v>
      </c>
      <c r="C84" s="656"/>
      <c r="D84" s="653"/>
      <c r="E84" s="397">
        <f>SUM(F84,G84)</f>
        <v>0</v>
      </c>
      <c r="F84" s="397">
        <v>0</v>
      </c>
      <c r="G84" s="399">
        <v>0</v>
      </c>
      <c r="H84" s="403"/>
      <c r="I84" s="403"/>
      <c r="J84" s="403"/>
      <c r="K84" s="403"/>
      <c r="L84" s="403"/>
      <c r="M84" s="404"/>
      <c r="N84" s="405"/>
      <c r="O84" s="405"/>
      <c r="P84" s="405"/>
      <c r="Q84" s="405"/>
    </row>
    <row r="85" spans="1:17" s="119" customFormat="1" ht="12.75" customHeight="1">
      <c r="A85" s="639"/>
      <c r="B85" s="191" t="s">
        <v>310</v>
      </c>
      <c r="C85" s="656"/>
      <c r="D85" s="653"/>
      <c r="E85" s="397">
        <f>SUM(F85,G85)</f>
        <v>0</v>
      </c>
      <c r="F85" s="397">
        <v>0</v>
      </c>
      <c r="G85" s="399">
        <v>0</v>
      </c>
      <c r="H85" s="403"/>
      <c r="I85" s="403"/>
      <c r="J85" s="403"/>
      <c r="K85" s="403"/>
      <c r="L85" s="403"/>
      <c r="M85" s="404"/>
      <c r="N85" s="405"/>
      <c r="O85" s="405"/>
      <c r="P85" s="405"/>
      <c r="Q85" s="405"/>
    </row>
    <row r="86" spans="1:17" s="119" customFormat="1" ht="12.75" customHeight="1">
      <c r="A86" s="640"/>
      <c r="B86" s="191" t="s">
        <v>311</v>
      </c>
      <c r="C86" s="657"/>
      <c r="D86" s="654"/>
      <c r="E86" s="397">
        <f>SUM(F86,G86)</f>
        <v>0</v>
      </c>
      <c r="F86" s="397">
        <v>0</v>
      </c>
      <c r="G86" s="399">
        <v>0</v>
      </c>
      <c r="H86" s="406"/>
      <c r="I86" s="406"/>
      <c r="J86" s="406"/>
      <c r="K86" s="406"/>
      <c r="L86" s="406"/>
      <c r="M86" s="407"/>
      <c r="N86" s="408"/>
      <c r="O86" s="408"/>
      <c r="P86" s="408"/>
      <c r="Q86" s="408"/>
    </row>
    <row r="87" spans="1:17" s="336" customFormat="1" ht="11.25">
      <c r="A87" s="278">
        <v>2</v>
      </c>
      <c r="B87" s="279" t="s">
        <v>264</v>
      </c>
      <c r="C87" s="680" t="s">
        <v>255</v>
      </c>
      <c r="D87" s="680"/>
      <c r="E87" s="538">
        <f>SUM(E92,E102,E112,E132,E122)</f>
        <v>864691</v>
      </c>
      <c r="F87" s="538">
        <f aca="true" t="shared" si="2" ref="F87:Q87">SUM(F92,F102,F112,F132,F122)</f>
        <v>114857</v>
      </c>
      <c r="G87" s="538">
        <f t="shared" si="2"/>
        <v>749834</v>
      </c>
      <c r="H87" s="538">
        <f t="shared" si="2"/>
        <v>241167</v>
      </c>
      <c r="I87" s="538">
        <f t="shared" si="2"/>
        <v>19949</v>
      </c>
      <c r="J87" s="538">
        <f t="shared" si="2"/>
        <v>0</v>
      </c>
      <c r="K87" s="538">
        <f t="shared" si="2"/>
        <v>0</v>
      </c>
      <c r="L87" s="538">
        <f t="shared" si="2"/>
        <v>19949</v>
      </c>
      <c r="M87" s="538">
        <f t="shared" si="2"/>
        <v>221218</v>
      </c>
      <c r="N87" s="538">
        <f t="shared" si="2"/>
        <v>0</v>
      </c>
      <c r="O87" s="538">
        <f t="shared" si="2"/>
        <v>0</v>
      </c>
      <c r="P87" s="538">
        <f t="shared" si="2"/>
        <v>0</v>
      </c>
      <c r="Q87" s="538">
        <f t="shared" si="2"/>
        <v>221218</v>
      </c>
    </row>
    <row r="88" spans="1:17" s="336" customFormat="1" ht="12.75">
      <c r="A88" s="638" t="s">
        <v>526</v>
      </c>
      <c r="B88" s="191" t="s">
        <v>257</v>
      </c>
      <c r="C88" s="641" t="s">
        <v>479</v>
      </c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</row>
    <row r="89" spans="1:17" s="336" customFormat="1" ht="12.75">
      <c r="A89" s="639"/>
      <c r="B89" s="191" t="s">
        <v>258</v>
      </c>
      <c r="C89" s="643" t="s">
        <v>480</v>
      </c>
      <c r="D89" s="644"/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5"/>
    </row>
    <row r="90" spans="1:17" s="336" customFormat="1" ht="12.75">
      <c r="A90" s="639"/>
      <c r="B90" s="191" t="s">
        <v>259</v>
      </c>
      <c r="C90" s="643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4"/>
      <c r="P90" s="644"/>
      <c r="Q90" s="645"/>
    </row>
    <row r="91" spans="1:17" s="336" customFormat="1" ht="12.75">
      <c r="A91" s="639"/>
      <c r="B91" s="191" t="s">
        <v>260</v>
      </c>
      <c r="C91" s="646" t="s">
        <v>481</v>
      </c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8"/>
    </row>
    <row r="92" spans="1:17" s="336" customFormat="1" ht="11.25">
      <c r="A92" s="639"/>
      <c r="B92" s="191" t="s">
        <v>261</v>
      </c>
      <c r="C92" s="443"/>
      <c r="D92" s="431"/>
      <c r="E92" s="397">
        <f>SUM(E93:E96)</f>
        <v>97010</v>
      </c>
      <c r="F92" s="397">
        <f>SUM(F93:F96)</f>
        <v>97010</v>
      </c>
      <c r="G92" s="397">
        <f>SUM(G93:G95)</f>
        <v>0</v>
      </c>
      <c r="H92" s="397">
        <f>SUM(I92,M92)</f>
        <v>2102</v>
      </c>
      <c r="I92" s="397">
        <f>J92+K92+L92</f>
        <v>2102</v>
      </c>
      <c r="J92" s="397">
        <v>0</v>
      </c>
      <c r="K92" s="397">
        <v>0</v>
      </c>
      <c r="L92" s="397">
        <v>2102</v>
      </c>
      <c r="M92" s="397">
        <f>N92+O92+P92+Q92</f>
        <v>0</v>
      </c>
      <c r="N92" s="397">
        <v>0</v>
      </c>
      <c r="O92" s="397"/>
      <c r="P92" s="397">
        <v>0</v>
      </c>
      <c r="Q92" s="397">
        <v>0</v>
      </c>
    </row>
    <row r="93" spans="1:17" s="336" customFormat="1" ht="11.25">
      <c r="A93" s="639"/>
      <c r="B93" s="191" t="s">
        <v>316</v>
      </c>
      <c r="C93" s="655"/>
      <c r="D93" s="652" t="s">
        <v>478</v>
      </c>
      <c r="E93" s="397">
        <f>SUM(F93:G93)</f>
        <v>2102</v>
      </c>
      <c r="F93" s="397">
        <f>SUM(I92)</f>
        <v>2102</v>
      </c>
      <c r="G93" s="399">
        <f>SUM(M92)</f>
        <v>0</v>
      </c>
      <c r="H93" s="400"/>
      <c r="I93" s="400"/>
      <c r="J93" s="400"/>
      <c r="K93" s="400"/>
      <c r="L93" s="400"/>
      <c r="M93" s="401"/>
      <c r="N93" s="402"/>
      <c r="O93" s="402"/>
      <c r="P93" s="405"/>
      <c r="Q93" s="405"/>
    </row>
    <row r="94" spans="1:17" s="336" customFormat="1" ht="11.25">
      <c r="A94" s="639"/>
      <c r="B94" s="191" t="s">
        <v>539</v>
      </c>
      <c r="C94" s="656"/>
      <c r="D94" s="653"/>
      <c r="E94" s="397">
        <f>SUM(F94,G94)</f>
        <v>38419</v>
      </c>
      <c r="F94" s="397">
        <v>38419</v>
      </c>
      <c r="G94" s="399">
        <v>0</v>
      </c>
      <c r="H94" s="403"/>
      <c r="I94" s="403"/>
      <c r="J94" s="403"/>
      <c r="K94" s="403"/>
      <c r="L94" s="403"/>
      <c r="M94" s="404"/>
      <c r="N94" s="405"/>
      <c r="O94" s="405"/>
      <c r="P94" s="405"/>
      <c r="Q94" s="405"/>
    </row>
    <row r="95" spans="1:17" s="336" customFormat="1" ht="11.25">
      <c r="A95" s="639"/>
      <c r="B95" s="191" t="s">
        <v>540</v>
      </c>
      <c r="C95" s="656"/>
      <c r="D95" s="653"/>
      <c r="E95" s="397">
        <f>SUM(F95,G95)</f>
        <v>41423</v>
      </c>
      <c r="F95" s="397">
        <v>41423</v>
      </c>
      <c r="G95" s="399">
        <v>0</v>
      </c>
      <c r="H95" s="403"/>
      <c r="I95" s="403"/>
      <c r="J95" s="403"/>
      <c r="K95" s="403"/>
      <c r="L95" s="403"/>
      <c r="M95" s="404"/>
      <c r="N95" s="405"/>
      <c r="O95" s="405"/>
      <c r="P95" s="405"/>
      <c r="Q95" s="405"/>
    </row>
    <row r="96" spans="1:17" s="336" customFormat="1" ht="11.25">
      <c r="A96" s="639"/>
      <c r="B96" s="191" t="s">
        <v>310</v>
      </c>
      <c r="C96" s="656"/>
      <c r="D96" s="653"/>
      <c r="E96" s="397">
        <f>SUM(F96,G96)</f>
        <v>15066</v>
      </c>
      <c r="F96" s="397">
        <v>15066</v>
      </c>
      <c r="G96" s="399">
        <v>0</v>
      </c>
      <c r="H96" s="403"/>
      <c r="I96" s="403"/>
      <c r="J96" s="403"/>
      <c r="K96" s="403"/>
      <c r="L96" s="403"/>
      <c r="M96" s="404"/>
      <c r="N96" s="405"/>
      <c r="O96" s="405"/>
      <c r="P96" s="405"/>
      <c r="Q96" s="405"/>
    </row>
    <row r="97" spans="1:17" s="336" customFormat="1" ht="11.25">
      <c r="A97" s="640"/>
      <c r="B97" s="191" t="s">
        <v>311</v>
      </c>
      <c r="C97" s="657"/>
      <c r="D97" s="654"/>
      <c r="E97" s="397">
        <f>SUM(F97,G97)</f>
        <v>0</v>
      </c>
      <c r="F97" s="397">
        <v>0</v>
      </c>
      <c r="G97" s="399">
        <v>0</v>
      </c>
      <c r="H97" s="406"/>
      <c r="I97" s="406"/>
      <c r="J97" s="406"/>
      <c r="K97" s="406"/>
      <c r="L97" s="406"/>
      <c r="M97" s="407"/>
      <c r="N97" s="408"/>
      <c r="O97" s="408"/>
      <c r="P97" s="408"/>
      <c r="Q97" s="408"/>
    </row>
    <row r="98" spans="1:17" s="336" customFormat="1" ht="12.75">
      <c r="A98" s="638" t="s">
        <v>496</v>
      </c>
      <c r="B98" s="191" t="s">
        <v>257</v>
      </c>
      <c r="C98" s="641" t="s">
        <v>497</v>
      </c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</row>
    <row r="99" spans="1:17" s="336" customFormat="1" ht="12.75">
      <c r="A99" s="639"/>
      <c r="B99" s="191" t="s">
        <v>258</v>
      </c>
      <c r="C99" s="643" t="s">
        <v>498</v>
      </c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5"/>
    </row>
    <row r="100" spans="1:17" s="336" customFormat="1" ht="12.75">
      <c r="A100" s="639"/>
      <c r="B100" s="191" t="s">
        <v>259</v>
      </c>
      <c r="C100" s="643" t="s">
        <v>499</v>
      </c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5"/>
    </row>
    <row r="101" spans="1:17" s="336" customFormat="1" ht="12.75">
      <c r="A101" s="639"/>
      <c r="B101" s="191" t="s">
        <v>260</v>
      </c>
      <c r="C101" s="646" t="s">
        <v>490</v>
      </c>
      <c r="D101" s="647"/>
      <c r="E101" s="647"/>
      <c r="F101" s="647"/>
      <c r="G101" s="647"/>
      <c r="H101" s="647"/>
      <c r="I101" s="647"/>
      <c r="J101" s="647"/>
      <c r="K101" s="647"/>
      <c r="L101" s="647"/>
      <c r="M101" s="647"/>
      <c r="N101" s="647"/>
      <c r="O101" s="647"/>
      <c r="P101" s="647"/>
      <c r="Q101" s="648"/>
    </row>
    <row r="102" spans="1:17" s="336" customFormat="1" ht="11.25">
      <c r="A102" s="640"/>
      <c r="B102" s="191" t="s">
        <v>261</v>
      </c>
      <c r="C102" s="443"/>
      <c r="D102" s="431"/>
      <c r="E102" s="397">
        <f>SUM(E103:E106)</f>
        <v>154785</v>
      </c>
      <c r="F102" s="397">
        <f>SUM(F103:F106)</f>
        <v>0</v>
      </c>
      <c r="G102" s="397">
        <f>SUM(G103:G105)</f>
        <v>154785</v>
      </c>
      <c r="H102" s="397">
        <f>SUM(I102,M102)</f>
        <v>78924</v>
      </c>
      <c r="I102" s="397">
        <f>J102+K102+L102</f>
        <v>0</v>
      </c>
      <c r="J102" s="397">
        <v>0</v>
      </c>
      <c r="K102" s="397">
        <v>0</v>
      </c>
      <c r="L102" s="397">
        <v>0</v>
      </c>
      <c r="M102" s="397">
        <f>N102+O102+P102+Q102</f>
        <v>78924</v>
      </c>
      <c r="N102" s="397">
        <v>0</v>
      </c>
      <c r="O102" s="397"/>
      <c r="P102" s="397">
        <v>0</v>
      </c>
      <c r="Q102" s="397">
        <v>78924</v>
      </c>
    </row>
    <row r="103" spans="1:17" s="336" customFormat="1" ht="11.25">
      <c r="A103" s="638" t="s">
        <v>496</v>
      </c>
      <c r="B103" s="191" t="s">
        <v>316</v>
      </c>
      <c r="C103" s="649">
        <v>73</v>
      </c>
      <c r="D103" s="652" t="s">
        <v>500</v>
      </c>
      <c r="E103" s="397">
        <f>SUM(F103:G103)</f>
        <v>78924</v>
      </c>
      <c r="F103" s="397">
        <f>SUM(I102)</f>
        <v>0</v>
      </c>
      <c r="G103" s="399">
        <f>SUM(M102)</f>
        <v>78924</v>
      </c>
      <c r="H103" s="400"/>
      <c r="I103" s="400"/>
      <c r="J103" s="400"/>
      <c r="K103" s="400"/>
      <c r="L103" s="400"/>
      <c r="M103" s="401"/>
      <c r="N103" s="402"/>
      <c r="O103" s="402"/>
      <c r="P103" s="402"/>
      <c r="Q103" s="402"/>
    </row>
    <row r="104" spans="1:17" s="336" customFormat="1" ht="11.25">
      <c r="A104" s="639"/>
      <c r="B104" s="191" t="s">
        <v>539</v>
      </c>
      <c r="C104" s="650"/>
      <c r="D104" s="653"/>
      <c r="E104" s="397">
        <f>SUM(F104,G104)</f>
        <v>75861</v>
      </c>
      <c r="F104" s="397">
        <v>0</v>
      </c>
      <c r="G104" s="399">
        <v>75861</v>
      </c>
      <c r="H104" s="403"/>
      <c r="I104" s="403"/>
      <c r="J104" s="403"/>
      <c r="K104" s="403"/>
      <c r="L104" s="403"/>
      <c r="M104" s="404"/>
      <c r="N104" s="405"/>
      <c r="O104" s="405"/>
      <c r="P104" s="405"/>
      <c r="Q104" s="405"/>
    </row>
    <row r="105" spans="1:17" s="336" customFormat="1" ht="11.25">
      <c r="A105" s="639"/>
      <c r="B105" s="191" t="s">
        <v>540</v>
      </c>
      <c r="C105" s="650"/>
      <c r="D105" s="653"/>
      <c r="E105" s="397">
        <f>SUM(F105,G105)</f>
        <v>0</v>
      </c>
      <c r="F105" s="397">
        <v>0</v>
      </c>
      <c r="G105" s="399">
        <v>0</v>
      </c>
      <c r="H105" s="403"/>
      <c r="I105" s="403"/>
      <c r="J105" s="403"/>
      <c r="K105" s="403"/>
      <c r="L105" s="403"/>
      <c r="M105" s="404"/>
      <c r="N105" s="405"/>
      <c r="O105" s="405"/>
      <c r="P105" s="405"/>
      <c r="Q105" s="405"/>
    </row>
    <row r="106" spans="1:17" s="336" customFormat="1" ht="11.25">
      <c r="A106" s="639"/>
      <c r="B106" s="191" t="s">
        <v>310</v>
      </c>
      <c r="C106" s="650"/>
      <c r="D106" s="653"/>
      <c r="E106" s="397">
        <f>SUM(F106,G106)</f>
        <v>0</v>
      </c>
      <c r="F106" s="397">
        <v>0</v>
      </c>
      <c r="G106" s="399">
        <v>0</v>
      </c>
      <c r="H106" s="403"/>
      <c r="I106" s="403"/>
      <c r="J106" s="403"/>
      <c r="K106" s="403"/>
      <c r="L106" s="403"/>
      <c r="M106" s="404"/>
      <c r="N106" s="405"/>
      <c r="O106" s="405"/>
      <c r="P106" s="405"/>
      <c r="Q106" s="405"/>
    </row>
    <row r="107" spans="1:17" s="336" customFormat="1" ht="11.25">
      <c r="A107" s="640"/>
      <c r="B107" s="191" t="s">
        <v>311</v>
      </c>
      <c r="C107" s="651"/>
      <c r="D107" s="654"/>
      <c r="E107" s="397">
        <f>SUM(F107,G107)</f>
        <v>0</v>
      </c>
      <c r="F107" s="397">
        <v>0</v>
      </c>
      <c r="G107" s="399">
        <v>0</v>
      </c>
      <c r="H107" s="406"/>
      <c r="I107" s="406"/>
      <c r="J107" s="406"/>
      <c r="K107" s="406"/>
      <c r="L107" s="406"/>
      <c r="M107" s="407"/>
      <c r="N107" s="408"/>
      <c r="O107" s="408"/>
      <c r="P107" s="408"/>
      <c r="Q107" s="408"/>
    </row>
    <row r="108" spans="1:17" s="336" customFormat="1" ht="12.75">
      <c r="A108" s="638" t="s">
        <v>501</v>
      </c>
      <c r="B108" s="191" t="s">
        <v>257</v>
      </c>
      <c r="C108" s="641" t="s">
        <v>497</v>
      </c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</row>
    <row r="109" spans="1:17" s="336" customFormat="1" ht="12.75">
      <c r="A109" s="639"/>
      <c r="B109" s="191" t="s">
        <v>258</v>
      </c>
      <c r="C109" s="643" t="s">
        <v>502</v>
      </c>
      <c r="D109" s="644"/>
      <c r="E109" s="644"/>
      <c r="F109" s="644"/>
      <c r="G109" s="644"/>
      <c r="H109" s="644"/>
      <c r="I109" s="644"/>
      <c r="J109" s="644"/>
      <c r="K109" s="644"/>
      <c r="L109" s="644"/>
      <c r="M109" s="644"/>
      <c r="N109" s="644"/>
      <c r="O109" s="644"/>
      <c r="P109" s="644"/>
      <c r="Q109" s="645"/>
    </row>
    <row r="110" spans="1:17" s="336" customFormat="1" ht="12.75">
      <c r="A110" s="639"/>
      <c r="B110" s="191" t="s">
        <v>259</v>
      </c>
      <c r="C110" s="643" t="s">
        <v>503</v>
      </c>
      <c r="D110" s="644"/>
      <c r="E110" s="644"/>
      <c r="F110" s="644"/>
      <c r="G110" s="644"/>
      <c r="H110" s="644"/>
      <c r="I110" s="644"/>
      <c r="J110" s="644"/>
      <c r="K110" s="644"/>
      <c r="L110" s="644"/>
      <c r="M110" s="644"/>
      <c r="N110" s="644"/>
      <c r="O110" s="644"/>
      <c r="P110" s="644"/>
      <c r="Q110" s="645"/>
    </row>
    <row r="111" spans="1:17" s="336" customFormat="1" ht="12.75">
      <c r="A111" s="639"/>
      <c r="B111" s="191" t="s">
        <v>260</v>
      </c>
      <c r="C111" s="646" t="s">
        <v>504</v>
      </c>
      <c r="D111" s="647"/>
      <c r="E111" s="647"/>
      <c r="F111" s="647"/>
      <c r="G111" s="647"/>
      <c r="H111" s="647"/>
      <c r="I111" s="647"/>
      <c r="J111" s="647"/>
      <c r="K111" s="647"/>
      <c r="L111" s="647"/>
      <c r="M111" s="647"/>
      <c r="N111" s="647"/>
      <c r="O111" s="647"/>
      <c r="P111" s="647"/>
      <c r="Q111" s="648"/>
    </row>
    <row r="112" spans="1:17" s="336" customFormat="1" ht="11.25">
      <c r="A112" s="639"/>
      <c r="B112" s="191" t="s">
        <v>261</v>
      </c>
      <c r="C112" s="443"/>
      <c r="D112" s="431"/>
      <c r="E112" s="397">
        <f>SUM(E113:E117)</f>
        <v>493914</v>
      </c>
      <c r="F112" s="397">
        <f>SUM(F113:F116)</f>
        <v>0</v>
      </c>
      <c r="G112" s="397">
        <f>SUM(G113:G117)</f>
        <v>493914</v>
      </c>
      <c r="H112" s="397">
        <f>SUM(I112,M112)</f>
        <v>41159</v>
      </c>
      <c r="I112" s="397">
        <f>J112+K112+L112</f>
        <v>0</v>
      </c>
      <c r="J112" s="397">
        <v>0</v>
      </c>
      <c r="K112" s="397">
        <v>0</v>
      </c>
      <c r="L112" s="397">
        <v>0</v>
      </c>
      <c r="M112" s="397">
        <f>N112+O112+P112+Q112</f>
        <v>41159</v>
      </c>
      <c r="N112" s="397">
        <v>0</v>
      </c>
      <c r="O112" s="397"/>
      <c r="P112" s="397">
        <v>0</v>
      </c>
      <c r="Q112" s="397">
        <v>41159</v>
      </c>
    </row>
    <row r="113" spans="1:17" s="336" customFormat="1" ht="11.25">
      <c r="A113" s="639"/>
      <c r="B113" s="191" t="s">
        <v>316</v>
      </c>
      <c r="C113" s="649">
        <v>65</v>
      </c>
      <c r="D113" s="652" t="s">
        <v>500</v>
      </c>
      <c r="E113" s="397">
        <f>SUM(F113:G113)</f>
        <v>41159</v>
      </c>
      <c r="F113" s="397">
        <f>SUM(I112)</f>
        <v>0</v>
      </c>
      <c r="G113" s="399">
        <f>SUM(M112)</f>
        <v>41159</v>
      </c>
      <c r="H113" s="400"/>
      <c r="I113" s="400"/>
      <c r="J113" s="400"/>
      <c r="K113" s="400"/>
      <c r="L113" s="400"/>
      <c r="M113" s="401"/>
      <c r="N113" s="402"/>
      <c r="O113" s="402"/>
      <c r="P113" s="405"/>
      <c r="Q113" s="405"/>
    </row>
    <row r="114" spans="1:17" s="336" customFormat="1" ht="11.25">
      <c r="A114" s="639"/>
      <c r="B114" s="191" t="s">
        <v>539</v>
      </c>
      <c r="C114" s="650"/>
      <c r="D114" s="653"/>
      <c r="E114" s="397">
        <f>SUM(F114,G114)</f>
        <v>151164</v>
      </c>
      <c r="F114" s="397">
        <v>0</v>
      </c>
      <c r="G114" s="399">
        <v>151164</v>
      </c>
      <c r="H114" s="403"/>
      <c r="I114" s="403"/>
      <c r="J114" s="403"/>
      <c r="K114" s="403"/>
      <c r="L114" s="403"/>
      <c r="M114" s="404"/>
      <c r="N114" s="405"/>
      <c r="O114" s="405"/>
      <c r="P114" s="405"/>
      <c r="Q114" s="405"/>
    </row>
    <row r="115" spans="1:17" s="336" customFormat="1" ht="11.25">
      <c r="A115" s="639"/>
      <c r="B115" s="191" t="s">
        <v>540</v>
      </c>
      <c r="C115" s="650"/>
      <c r="D115" s="653"/>
      <c r="E115" s="397">
        <f>SUM(F115,G115)</f>
        <v>105665</v>
      </c>
      <c r="F115" s="397">
        <v>0</v>
      </c>
      <c r="G115" s="399">
        <v>105665</v>
      </c>
      <c r="H115" s="403"/>
      <c r="I115" s="403"/>
      <c r="J115" s="403"/>
      <c r="K115" s="403"/>
      <c r="L115" s="403"/>
      <c r="M115" s="404"/>
      <c r="N115" s="405"/>
      <c r="O115" s="405"/>
      <c r="P115" s="405"/>
      <c r="Q115" s="405"/>
    </row>
    <row r="116" spans="1:17" s="336" customFormat="1" ht="11.25">
      <c r="A116" s="639"/>
      <c r="B116" s="191" t="s">
        <v>310</v>
      </c>
      <c r="C116" s="650"/>
      <c r="D116" s="653"/>
      <c r="E116" s="397">
        <f>SUM(F116,G116)</f>
        <v>110171</v>
      </c>
      <c r="F116" s="397">
        <v>0</v>
      </c>
      <c r="G116" s="399">
        <v>110171</v>
      </c>
      <c r="H116" s="403"/>
      <c r="I116" s="403"/>
      <c r="J116" s="403"/>
      <c r="K116" s="403"/>
      <c r="L116" s="403"/>
      <c r="M116" s="404"/>
      <c r="N116" s="405"/>
      <c r="O116" s="405"/>
      <c r="P116" s="405"/>
      <c r="Q116" s="405"/>
    </row>
    <row r="117" spans="1:17" s="336" customFormat="1" ht="11.25">
      <c r="A117" s="640"/>
      <c r="B117" s="191" t="s">
        <v>311</v>
      </c>
      <c r="C117" s="651"/>
      <c r="D117" s="654"/>
      <c r="E117" s="397">
        <f>SUM(F117,G117)</f>
        <v>85755</v>
      </c>
      <c r="F117" s="397">
        <v>0</v>
      </c>
      <c r="G117" s="399">
        <v>85755</v>
      </c>
      <c r="H117" s="406"/>
      <c r="I117" s="406"/>
      <c r="J117" s="406"/>
      <c r="K117" s="406"/>
      <c r="L117" s="406"/>
      <c r="M117" s="407"/>
      <c r="N117" s="408"/>
      <c r="O117" s="408"/>
      <c r="P117" s="408"/>
      <c r="Q117" s="408"/>
    </row>
    <row r="118" spans="1:17" s="336" customFormat="1" ht="12.75">
      <c r="A118" s="638" t="s">
        <v>505</v>
      </c>
      <c r="B118" s="191" t="s">
        <v>257</v>
      </c>
      <c r="C118" s="641" t="s">
        <v>497</v>
      </c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</row>
    <row r="119" spans="1:17" s="336" customFormat="1" ht="12.75">
      <c r="A119" s="639"/>
      <c r="B119" s="191" t="s">
        <v>258</v>
      </c>
      <c r="C119" s="643" t="s">
        <v>506</v>
      </c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5"/>
    </row>
    <row r="120" spans="1:17" s="336" customFormat="1" ht="12.75">
      <c r="A120" s="639"/>
      <c r="B120" s="191" t="s">
        <v>259</v>
      </c>
      <c r="C120" s="643" t="s">
        <v>507</v>
      </c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5"/>
    </row>
    <row r="121" spans="1:17" s="336" customFormat="1" ht="12.75">
      <c r="A121" s="639"/>
      <c r="B121" s="191" t="s">
        <v>260</v>
      </c>
      <c r="C121" s="646" t="s">
        <v>509</v>
      </c>
      <c r="D121" s="647"/>
      <c r="E121" s="647"/>
      <c r="F121" s="647"/>
      <c r="G121" s="647"/>
      <c r="H121" s="647"/>
      <c r="I121" s="647"/>
      <c r="J121" s="647"/>
      <c r="K121" s="647"/>
      <c r="L121" s="647"/>
      <c r="M121" s="647"/>
      <c r="N121" s="647"/>
      <c r="O121" s="647"/>
      <c r="P121" s="647"/>
      <c r="Q121" s="648"/>
    </row>
    <row r="122" spans="1:17" s="336" customFormat="1" ht="11.25">
      <c r="A122" s="639"/>
      <c r="B122" s="191" t="s">
        <v>261</v>
      </c>
      <c r="C122" s="443"/>
      <c r="D122" s="431"/>
      <c r="E122" s="397">
        <f>SUM(E123:E126)</f>
        <v>118982</v>
      </c>
      <c r="F122" s="397">
        <f>SUM(F123:F126)</f>
        <v>17847</v>
      </c>
      <c r="G122" s="397">
        <f>SUM(G123:G125)</f>
        <v>101135</v>
      </c>
      <c r="H122" s="397">
        <f>SUM(I122,M122)</f>
        <v>118982</v>
      </c>
      <c r="I122" s="397">
        <f>J122+K122+L122</f>
        <v>17847</v>
      </c>
      <c r="J122" s="397">
        <v>0</v>
      </c>
      <c r="K122" s="397">
        <v>0</v>
      </c>
      <c r="L122" s="397">
        <v>17847</v>
      </c>
      <c r="M122" s="397">
        <f>N122+O122+P122+Q122</f>
        <v>101135</v>
      </c>
      <c r="N122" s="397">
        <v>0</v>
      </c>
      <c r="O122" s="397"/>
      <c r="P122" s="397">
        <v>0</v>
      </c>
      <c r="Q122" s="397">
        <v>101135</v>
      </c>
    </row>
    <row r="123" spans="1:17" s="336" customFormat="1" ht="11.25">
      <c r="A123" s="639"/>
      <c r="B123" s="191" t="s">
        <v>316</v>
      </c>
      <c r="C123" s="649">
        <v>71</v>
      </c>
      <c r="D123" s="652" t="s">
        <v>500</v>
      </c>
      <c r="E123" s="397">
        <f>SUM(F123:G123)</f>
        <v>118982</v>
      </c>
      <c r="F123" s="397">
        <f>SUM(I122)</f>
        <v>17847</v>
      </c>
      <c r="G123" s="399">
        <f>SUM(M122)</f>
        <v>101135</v>
      </c>
      <c r="H123" s="400"/>
      <c r="I123" s="400"/>
      <c r="J123" s="400"/>
      <c r="K123" s="400"/>
      <c r="L123" s="400"/>
      <c r="M123" s="401"/>
      <c r="N123" s="402"/>
      <c r="O123" s="402"/>
      <c r="P123" s="405"/>
      <c r="Q123" s="405"/>
    </row>
    <row r="124" spans="1:17" s="336" customFormat="1" ht="11.25">
      <c r="A124" s="639"/>
      <c r="B124" s="191" t="s">
        <v>539</v>
      </c>
      <c r="C124" s="650"/>
      <c r="D124" s="653"/>
      <c r="E124" s="397">
        <f>SUM(F124,G124)</f>
        <v>0</v>
      </c>
      <c r="F124" s="397">
        <v>0</v>
      </c>
      <c r="G124" s="399">
        <v>0</v>
      </c>
      <c r="H124" s="403"/>
      <c r="I124" s="403"/>
      <c r="J124" s="403"/>
      <c r="K124" s="403"/>
      <c r="L124" s="403"/>
      <c r="M124" s="404"/>
      <c r="N124" s="405"/>
      <c r="O124" s="405"/>
      <c r="P124" s="405"/>
      <c r="Q124" s="405"/>
    </row>
    <row r="125" spans="1:17" s="336" customFormat="1" ht="11.25">
      <c r="A125" s="639"/>
      <c r="B125" s="191" t="s">
        <v>540</v>
      </c>
      <c r="C125" s="650"/>
      <c r="D125" s="653"/>
      <c r="E125" s="397">
        <f>SUM(F125,G125)</f>
        <v>0</v>
      </c>
      <c r="F125" s="397">
        <v>0</v>
      </c>
      <c r="G125" s="399">
        <v>0</v>
      </c>
      <c r="H125" s="403"/>
      <c r="I125" s="403"/>
      <c r="J125" s="403"/>
      <c r="K125" s="403"/>
      <c r="L125" s="403"/>
      <c r="M125" s="404"/>
      <c r="N125" s="405"/>
      <c r="O125" s="405"/>
      <c r="P125" s="405"/>
      <c r="Q125" s="405"/>
    </row>
    <row r="126" spans="1:17" s="336" customFormat="1" ht="11.25">
      <c r="A126" s="639"/>
      <c r="B126" s="191" t="s">
        <v>310</v>
      </c>
      <c r="C126" s="650"/>
      <c r="D126" s="653"/>
      <c r="E126" s="397">
        <f>SUM(F126,G126)</f>
        <v>0</v>
      </c>
      <c r="F126" s="397">
        <v>0</v>
      </c>
      <c r="G126" s="399">
        <v>0</v>
      </c>
      <c r="H126" s="403"/>
      <c r="I126" s="403"/>
      <c r="J126" s="403"/>
      <c r="K126" s="403"/>
      <c r="L126" s="403"/>
      <c r="M126" s="404"/>
      <c r="N126" s="405"/>
      <c r="O126" s="405"/>
      <c r="P126" s="405"/>
      <c r="Q126" s="405"/>
    </row>
    <row r="127" spans="1:17" s="336" customFormat="1" ht="11.25" customHeight="1">
      <c r="A127" s="640"/>
      <c r="B127" s="191" t="s">
        <v>311</v>
      </c>
      <c r="C127" s="651"/>
      <c r="D127" s="654"/>
      <c r="E127" s="397">
        <f>SUM(F127,G127)</f>
        <v>0</v>
      </c>
      <c r="F127" s="397">
        <v>0</v>
      </c>
      <c r="G127" s="399">
        <v>0</v>
      </c>
      <c r="H127" s="406"/>
      <c r="I127" s="406"/>
      <c r="J127" s="406"/>
      <c r="K127" s="406"/>
      <c r="L127" s="406"/>
      <c r="M127" s="407"/>
      <c r="N127" s="408"/>
      <c r="O127" s="408"/>
      <c r="P127" s="408"/>
      <c r="Q127" s="408"/>
    </row>
    <row r="128" spans="1:17" s="336" customFormat="1" ht="12.75" hidden="1">
      <c r="A128" s="638" t="s">
        <v>353</v>
      </c>
      <c r="B128" s="191" t="s">
        <v>257</v>
      </c>
      <c r="C128" s="641" t="s">
        <v>497</v>
      </c>
      <c r="D128" s="642"/>
      <c r="E128" s="642"/>
      <c r="F128" s="642"/>
      <c r="G128" s="642"/>
      <c r="H128" s="642"/>
      <c r="I128" s="642"/>
      <c r="J128" s="642"/>
      <c r="K128" s="642"/>
      <c r="L128" s="642"/>
      <c r="M128" s="642"/>
      <c r="N128" s="642"/>
      <c r="O128" s="642"/>
      <c r="P128" s="642"/>
      <c r="Q128" s="642"/>
    </row>
    <row r="129" spans="1:17" s="336" customFormat="1" ht="12.75" hidden="1">
      <c r="A129" s="639"/>
      <c r="B129" s="191" t="s">
        <v>258</v>
      </c>
      <c r="C129" s="643" t="s">
        <v>498</v>
      </c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5"/>
    </row>
    <row r="130" spans="1:17" s="336" customFormat="1" ht="12.75" hidden="1">
      <c r="A130" s="639"/>
      <c r="B130" s="191" t="s">
        <v>259</v>
      </c>
      <c r="C130" s="643" t="s">
        <v>354</v>
      </c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5"/>
    </row>
    <row r="131" spans="1:17" s="336" customFormat="1" ht="12.75" hidden="1">
      <c r="A131" s="639"/>
      <c r="B131" s="191" t="s">
        <v>260</v>
      </c>
      <c r="C131" s="646" t="s">
        <v>355</v>
      </c>
      <c r="D131" s="647"/>
      <c r="E131" s="647"/>
      <c r="F131" s="647"/>
      <c r="G131" s="647"/>
      <c r="H131" s="647"/>
      <c r="I131" s="647"/>
      <c r="J131" s="647"/>
      <c r="K131" s="647"/>
      <c r="L131" s="647"/>
      <c r="M131" s="647"/>
      <c r="N131" s="647"/>
      <c r="O131" s="647"/>
      <c r="P131" s="647"/>
      <c r="Q131" s="648"/>
    </row>
    <row r="132" spans="1:17" s="336" customFormat="1" ht="11.25" hidden="1">
      <c r="A132" s="639"/>
      <c r="B132" s="191" t="s">
        <v>261</v>
      </c>
      <c r="C132" s="443"/>
      <c r="D132" s="431"/>
      <c r="E132" s="397">
        <f>SUM(E133:E136)</f>
        <v>0</v>
      </c>
      <c r="F132" s="397">
        <f>SUM(F133:F136)</f>
        <v>0</v>
      </c>
      <c r="G132" s="397">
        <f>SUM(G133:G135)</f>
        <v>0</v>
      </c>
      <c r="H132" s="397">
        <f>SUM(I132,M132)</f>
        <v>0</v>
      </c>
      <c r="I132" s="397">
        <f>J132+K132+L132</f>
        <v>0</v>
      </c>
      <c r="J132" s="397">
        <v>0</v>
      </c>
      <c r="K132" s="397">
        <v>0</v>
      </c>
      <c r="L132" s="397">
        <v>0</v>
      </c>
      <c r="M132" s="397">
        <f>N132+O132+P132+Q132</f>
        <v>0</v>
      </c>
      <c r="N132" s="397">
        <v>0</v>
      </c>
      <c r="O132" s="397"/>
      <c r="P132" s="397">
        <v>0</v>
      </c>
      <c r="Q132" s="397">
        <v>0</v>
      </c>
    </row>
    <row r="133" spans="1:17" s="336" customFormat="1" ht="11.25" hidden="1">
      <c r="A133" s="639"/>
      <c r="B133" s="191" t="s">
        <v>316</v>
      </c>
      <c r="C133" s="649">
        <v>23</v>
      </c>
      <c r="D133" s="652" t="s">
        <v>500</v>
      </c>
      <c r="E133" s="397">
        <f>SUM(F133:G133)</f>
        <v>0</v>
      </c>
      <c r="F133" s="397">
        <f>SUM(I132)</f>
        <v>0</v>
      </c>
      <c r="G133" s="399">
        <f>SUM(M132)</f>
        <v>0</v>
      </c>
      <c r="H133" s="400"/>
      <c r="I133" s="400"/>
      <c r="J133" s="400"/>
      <c r="K133" s="400"/>
      <c r="L133" s="400"/>
      <c r="M133" s="401"/>
      <c r="N133" s="402"/>
      <c r="O133" s="402"/>
      <c r="P133" s="405"/>
      <c r="Q133" s="405"/>
    </row>
    <row r="134" spans="1:17" s="336" customFormat="1" ht="11.25" hidden="1">
      <c r="A134" s="639"/>
      <c r="B134" s="191" t="s">
        <v>539</v>
      </c>
      <c r="C134" s="650"/>
      <c r="D134" s="653"/>
      <c r="E134" s="397">
        <f>SUM(F134,G134)</f>
        <v>0</v>
      </c>
      <c r="F134" s="397">
        <v>0</v>
      </c>
      <c r="G134" s="399">
        <v>0</v>
      </c>
      <c r="H134" s="403"/>
      <c r="I134" s="403"/>
      <c r="J134" s="403"/>
      <c r="K134" s="403"/>
      <c r="L134" s="403"/>
      <c r="M134" s="404"/>
      <c r="N134" s="405"/>
      <c r="O134" s="405"/>
      <c r="P134" s="405"/>
      <c r="Q134" s="405"/>
    </row>
    <row r="135" spans="1:17" s="336" customFormat="1" ht="11.25" hidden="1">
      <c r="A135" s="639"/>
      <c r="B135" s="191" t="s">
        <v>540</v>
      </c>
      <c r="C135" s="650"/>
      <c r="D135" s="653"/>
      <c r="E135" s="397">
        <f>SUM(F135,G135)</f>
        <v>0</v>
      </c>
      <c r="F135" s="397">
        <v>0</v>
      </c>
      <c r="G135" s="399">
        <v>0</v>
      </c>
      <c r="H135" s="403"/>
      <c r="I135" s="403"/>
      <c r="J135" s="403"/>
      <c r="K135" s="403"/>
      <c r="L135" s="403"/>
      <c r="M135" s="404"/>
      <c r="N135" s="405"/>
      <c r="O135" s="405"/>
      <c r="P135" s="405"/>
      <c r="Q135" s="405"/>
    </row>
    <row r="136" spans="1:17" s="336" customFormat="1" ht="11.25" hidden="1">
      <c r="A136" s="639"/>
      <c r="B136" s="191" t="s">
        <v>310</v>
      </c>
      <c r="C136" s="650"/>
      <c r="D136" s="653"/>
      <c r="E136" s="397">
        <f>SUM(F136,G136)</f>
        <v>0</v>
      </c>
      <c r="F136" s="397">
        <v>0</v>
      </c>
      <c r="G136" s="399">
        <v>0</v>
      </c>
      <c r="H136" s="403"/>
      <c r="I136" s="403"/>
      <c r="J136" s="403"/>
      <c r="K136" s="403"/>
      <c r="L136" s="403"/>
      <c r="M136" s="404"/>
      <c r="N136" s="405"/>
      <c r="O136" s="405"/>
      <c r="P136" s="405"/>
      <c r="Q136" s="405"/>
    </row>
    <row r="137" spans="1:17" s="336" customFormat="1" ht="11.25" customHeight="1" hidden="1">
      <c r="A137" s="640"/>
      <c r="B137" s="191" t="s">
        <v>311</v>
      </c>
      <c r="C137" s="651"/>
      <c r="D137" s="654"/>
      <c r="E137" s="397">
        <f>SUM(F137,G137)</f>
        <v>0</v>
      </c>
      <c r="F137" s="397">
        <v>0</v>
      </c>
      <c r="G137" s="399">
        <v>0</v>
      </c>
      <c r="H137" s="406"/>
      <c r="I137" s="406"/>
      <c r="J137" s="406"/>
      <c r="K137" s="406"/>
      <c r="L137" s="406"/>
      <c r="M137" s="407"/>
      <c r="N137" s="408"/>
      <c r="O137" s="408"/>
      <c r="P137" s="408"/>
      <c r="Q137" s="408"/>
    </row>
    <row r="138" spans="1:17" s="336" customFormat="1" ht="11.25">
      <c r="A138" s="672" t="s">
        <v>265</v>
      </c>
      <c r="B138" s="673"/>
      <c r="C138" s="678" t="s">
        <v>255</v>
      </c>
      <c r="D138" s="679"/>
      <c r="E138" s="538">
        <f aca="true" t="shared" si="3" ref="E138:Q138">SUM(E87,E14)</f>
        <v>33453974</v>
      </c>
      <c r="F138" s="538">
        <f t="shared" si="3"/>
        <v>8948649</v>
      </c>
      <c r="G138" s="538">
        <f t="shared" si="3"/>
        <v>24505325</v>
      </c>
      <c r="H138" s="538">
        <f t="shared" si="3"/>
        <v>682932</v>
      </c>
      <c r="I138" s="538">
        <f t="shared" si="3"/>
        <v>461714</v>
      </c>
      <c r="J138" s="538">
        <f t="shared" si="3"/>
        <v>240340</v>
      </c>
      <c r="K138" s="538">
        <f t="shared" si="3"/>
        <v>0</v>
      </c>
      <c r="L138" s="538">
        <f t="shared" si="3"/>
        <v>221374</v>
      </c>
      <c r="M138" s="538">
        <f t="shared" si="3"/>
        <v>221218</v>
      </c>
      <c r="N138" s="538">
        <f t="shared" si="3"/>
        <v>0</v>
      </c>
      <c r="O138" s="538">
        <f t="shared" si="3"/>
        <v>0</v>
      </c>
      <c r="P138" s="538">
        <f t="shared" si="3"/>
        <v>0</v>
      </c>
      <c r="Q138" s="538">
        <f t="shared" si="3"/>
        <v>221218</v>
      </c>
    </row>
    <row r="139" spans="1:10" s="336" customFormat="1" ht="11.25">
      <c r="A139" s="677" t="s">
        <v>476</v>
      </c>
      <c r="B139" s="677"/>
      <c r="C139" s="677"/>
      <c r="D139" s="677"/>
      <c r="E139" s="677"/>
      <c r="F139" s="677"/>
      <c r="G139" s="677"/>
      <c r="H139" s="677"/>
      <c r="I139" s="677"/>
      <c r="J139" s="677"/>
    </row>
    <row r="140" s="336" customFormat="1" ht="11.25">
      <c r="A140" s="336" t="s">
        <v>475</v>
      </c>
    </row>
    <row r="141" spans="1:17" ht="11.25" customHeight="1">
      <c r="A141" s="84" t="s">
        <v>491</v>
      </c>
      <c r="B141" s="681" t="s">
        <v>325</v>
      </c>
      <c r="C141" s="681"/>
      <c r="D141" s="681"/>
      <c r="E141" s="681"/>
      <c r="F141" s="681"/>
      <c r="G141" s="681"/>
      <c r="H141" s="681"/>
      <c r="I141" s="681"/>
      <c r="J141" s="681"/>
      <c r="K141" s="681"/>
      <c r="L141" s="681"/>
      <c r="M141" s="681"/>
      <c r="N141" s="681"/>
      <c r="O141" s="681"/>
      <c r="P141" s="681"/>
      <c r="Q141" s="681"/>
    </row>
    <row r="142" spans="2:17" ht="11.25">
      <c r="B142" s="681"/>
      <c r="C142" s="681"/>
      <c r="D142" s="681"/>
      <c r="E142" s="681"/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1"/>
    </row>
  </sheetData>
  <mergeCells count="142">
    <mergeCell ref="A118:A127"/>
    <mergeCell ref="C118:Q118"/>
    <mergeCell ref="C119:Q119"/>
    <mergeCell ref="C120:Q120"/>
    <mergeCell ref="C121:Q121"/>
    <mergeCell ref="C123:C127"/>
    <mergeCell ref="D123:D127"/>
    <mergeCell ref="A98:A102"/>
    <mergeCell ref="A103:A107"/>
    <mergeCell ref="B141:Q142"/>
    <mergeCell ref="C133:C137"/>
    <mergeCell ref="D133:D137"/>
    <mergeCell ref="C128:Q128"/>
    <mergeCell ref="C129:Q129"/>
    <mergeCell ref="C130:Q130"/>
    <mergeCell ref="C131:Q131"/>
    <mergeCell ref="C99:Q99"/>
    <mergeCell ref="A72:A76"/>
    <mergeCell ref="C72:C76"/>
    <mergeCell ref="D72:D76"/>
    <mergeCell ref="A67:A71"/>
    <mergeCell ref="C67:Q67"/>
    <mergeCell ref="C68:Q68"/>
    <mergeCell ref="C69:Q69"/>
    <mergeCell ref="C70:Q70"/>
    <mergeCell ref="J32:J35"/>
    <mergeCell ref="O32:O35"/>
    <mergeCell ref="P32:P35"/>
    <mergeCell ref="Q32:Q35"/>
    <mergeCell ref="K32:K35"/>
    <mergeCell ref="L32:L35"/>
    <mergeCell ref="M32:M35"/>
    <mergeCell ref="N32:N35"/>
    <mergeCell ref="Q42:Q45"/>
    <mergeCell ref="A27:A36"/>
    <mergeCell ref="C27:Q27"/>
    <mergeCell ref="C28:Q28"/>
    <mergeCell ref="C29:Q29"/>
    <mergeCell ref="C30:Q30"/>
    <mergeCell ref="C32:C36"/>
    <mergeCell ref="D32:D36"/>
    <mergeCell ref="H32:H35"/>
    <mergeCell ref="I32:I35"/>
    <mergeCell ref="C87:D87"/>
    <mergeCell ref="C38:Q38"/>
    <mergeCell ref="C39:Q39"/>
    <mergeCell ref="C40:Q40"/>
    <mergeCell ref="C42:C46"/>
    <mergeCell ref="D42:D46"/>
    <mergeCell ref="H42:H45"/>
    <mergeCell ref="I42:I45"/>
    <mergeCell ref="J42:J45"/>
    <mergeCell ref="K42:K45"/>
    <mergeCell ref="M42:M45"/>
    <mergeCell ref="O42:O45"/>
    <mergeCell ref="P42:P45"/>
    <mergeCell ref="A139:J139"/>
    <mergeCell ref="A138:B138"/>
    <mergeCell ref="C138:D138"/>
    <mergeCell ref="C77:Q77"/>
    <mergeCell ref="C78:Q78"/>
    <mergeCell ref="C79:Q79"/>
    <mergeCell ref="C80:Q80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51:C56"/>
    <mergeCell ref="D51:D56"/>
    <mergeCell ref="A37:A40"/>
    <mergeCell ref="A41:A46"/>
    <mergeCell ref="A47:A56"/>
    <mergeCell ref="C47:Q47"/>
    <mergeCell ref="C48:Q48"/>
    <mergeCell ref="C49:Q49"/>
    <mergeCell ref="C50:Q50"/>
    <mergeCell ref="L42:L45"/>
    <mergeCell ref="A57:A66"/>
    <mergeCell ref="C57:Q57"/>
    <mergeCell ref="C58:Q58"/>
    <mergeCell ref="C59:Q59"/>
    <mergeCell ref="C60:Q60"/>
    <mergeCell ref="C82:C86"/>
    <mergeCell ref="D82:D86"/>
    <mergeCell ref="C61:C66"/>
    <mergeCell ref="D61:D66"/>
    <mergeCell ref="A77:A86"/>
    <mergeCell ref="A128:A137"/>
    <mergeCell ref="A88:A97"/>
    <mergeCell ref="C88:Q88"/>
    <mergeCell ref="C89:Q89"/>
    <mergeCell ref="C90:Q90"/>
    <mergeCell ref="C91:Q91"/>
    <mergeCell ref="C93:C97"/>
    <mergeCell ref="D93:D97"/>
    <mergeCell ref="C98:Q98"/>
    <mergeCell ref="C100:Q100"/>
    <mergeCell ref="C101:Q101"/>
    <mergeCell ref="C103:C107"/>
    <mergeCell ref="D103:D107"/>
    <mergeCell ref="A108:A117"/>
    <mergeCell ref="C108:Q108"/>
    <mergeCell ref="C109:Q109"/>
    <mergeCell ref="C110:Q110"/>
    <mergeCell ref="C111:Q111"/>
    <mergeCell ref="C113:C117"/>
    <mergeCell ref="D113:D117"/>
  </mergeCells>
  <printOptions/>
  <pageMargins left="0.17" right="0.25" top="1.24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H642"/>
  <sheetViews>
    <sheetView workbookViewId="0" topLeftCell="A1">
      <selection activeCell="D19" sqref="D19"/>
    </sheetView>
  </sheetViews>
  <sheetFormatPr defaultColWidth="9.00390625" defaultRowHeight="12.75"/>
  <cols>
    <col min="1" max="1" width="4.875" style="41" bestFit="1" customWidth="1"/>
    <col min="2" max="2" width="6.875" style="41" customWidth="1"/>
    <col min="3" max="3" width="7.125" style="41" customWidth="1"/>
    <col min="4" max="4" width="32.125" style="42" customWidth="1"/>
    <col min="5" max="5" width="13.75390625" style="29" customWidth="1"/>
    <col min="6" max="6" width="13.25390625" style="44" customWidth="1"/>
    <col min="7" max="7" width="12.875" style="380" customWidth="1"/>
    <col min="8" max="16384" width="9.125" style="42" customWidth="1"/>
  </cols>
  <sheetData>
    <row r="1" spans="5:7" ht="12.75">
      <c r="E1" s="375"/>
      <c r="F1" s="42"/>
      <c r="G1" s="31" t="s">
        <v>273</v>
      </c>
    </row>
    <row r="2" spans="5:7" ht="14.25">
      <c r="E2" s="375"/>
      <c r="F2" s="375"/>
      <c r="G2" s="43" t="s">
        <v>326</v>
      </c>
    </row>
    <row r="3" spans="5:7" ht="14.25">
      <c r="E3" s="375"/>
      <c r="F3" s="375"/>
      <c r="G3" s="43" t="s">
        <v>194</v>
      </c>
    </row>
    <row r="4" ht="6.75" customHeight="1">
      <c r="G4" s="376"/>
    </row>
    <row r="5" ht="6.75" customHeight="1">
      <c r="G5" s="27"/>
    </row>
    <row r="6" spans="1:7" ht="12.75">
      <c r="A6" s="588" t="s">
        <v>206</v>
      </c>
      <c r="B6" s="588"/>
      <c r="C6" s="588"/>
      <c r="D6" s="588"/>
      <c r="E6" s="588"/>
      <c r="F6" s="588"/>
      <c r="G6" s="588"/>
    </row>
    <row r="7" spans="1:7" ht="12.75">
      <c r="A7" s="588" t="s">
        <v>356</v>
      </c>
      <c r="B7" s="588"/>
      <c r="C7" s="588"/>
      <c r="D7" s="588"/>
      <c r="E7" s="588"/>
      <c r="F7" s="588"/>
      <c r="G7" s="588"/>
    </row>
    <row r="8" spans="2:4" ht="8.25" customHeight="1">
      <c r="B8" s="377"/>
      <c r="C8" s="378"/>
      <c r="D8" s="379"/>
    </row>
    <row r="9" spans="1:7" s="47" customFormat="1" ht="58.5" customHeight="1">
      <c r="A9" s="462" t="s">
        <v>57</v>
      </c>
      <c r="B9" s="462" t="s">
        <v>61</v>
      </c>
      <c r="C9" s="462" t="s">
        <v>160</v>
      </c>
      <c r="D9" s="149" t="s">
        <v>62</v>
      </c>
      <c r="E9" s="463" t="s">
        <v>357</v>
      </c>
      <c r="F9" s="471" t="s">
        <v>64</v>
      </c>
      <c r="G9" s="463" t="s">
        <v>318</v>
      </c>
    </row>
    <row r="10" spans="1:7" s="48" customFormat="1" ht="12.75">
      <c r="A10" s="147">
        <v>1</v>
      </c>
      <c r="B10" s="147">
        <v>2</v>
      </c>
      <c r="C10" s="147">
        <v>3</v>
      </c>
      <c r="D10" s="251">
        <v>4</v>
      </c>
      <c r="E10" s="251">
        <v>5</v>
      </c>
      <c r="F10" s="257">
        <v>6</v>
      </c>
      <c r="G10" s="257">
        <v>7</v>
      </c>
    </row>
    <row r="11" spans="1:7" s="381" customFormat="1" ht="12.75">
      <c r="A11" s="252" t="s">
        <v>161</v>
      </c>
      <c r="B11" s="253"/>
      <c r="C11" s="253"/>
      <c r="D11" s="25" t="s">
        <v>162</v>
      </c>
      <c r="E11" s="184">
        <f>E12</f>
        <v>6800</v>
      </c>
      <c r="F11" s="184">
        <f>F12</f>
        <v>6800</v>
      </c>
      <c r="G11" s="250">
        <f>SUM(G15)</f>
        <v>4000</v>
      </c>
    </row>
    <row r="12" spans="1:7" s="381" customFormat="1" ht="25.5">
      <c r="A12" s="252"/>
      <c r="B12" s="472" t="s">
        <v>163</v>
      </c>
      <c r="C12" s="253"/>
      <c r="D12" s="25" t="s">
        <v>164</v>
      </c>
      <c r="E12" s="184">
        <f>SUM(E13)</f>
        <v>6800</v>
      </c>
      <c r="F12" s="146">
        <f>SUM(F13:F14)</f>
        <v>6800</v>
      </c>
      <c r="G12" s="473">
        <v>0</v>
      </c>
    </row>
    <row r="13" spans="1:7" s="381" customFormat="1" ht="44.25" customHeight="1">
      <c r="A13" s="256"/>
      <c r="B13" s="472"/>
      <c r="C13" s="254" t="s">
        <v>165</v>
      </c>
      <c r="D13" s="474" t="s">
        <v>166</v>
      </c>
      <c r="E13" s="185">
        <v>6800</v>
      </c>
      <c r="F13" s="259"/>
      <c r="G13" s="324"/>
    </row>
    <row r="14" spans="1:7" s="381" customFormat="1" ht="12.75">
      <c r="A14" s="256"/>
      <c r="B14" s="468"/>
      <c r="C14" s="475">
        <v>4300</v>
      </c>
      <c r="D14" s="267" t="s">
        <v>358</v>
      </c>
      <c r="E14" s="184"/>
      <c r="F14" s="259">
        <v>6800</v>
      </c>
      <c r="G14" s="324"/>
    </row>
    <row r="15" spans="1:7" s="381" customFormat="1" ht="12.75">
      <c r="A15" s="256"/>
      <c r="B15" s="472" t="s">
        <v>319</v>
      </c>
      <c r="C15" s="253"/>
      <c r="D15" s="25" t="s">
        <v>320</v>
      </c>
      <c r="E15" s="184">
        <f>SUM(E16)</f>
        <v>0</v>
      </c>
      <c r="F15" s="146">
        <f>SUM(F16)</f>
        <v>0</v>
      </c>
      <c r="G15" s="146">
        <f>SUM(G16)</f>
        <v>4000</v>
      </c>
    </row>
    <row r="16" spans="1:7" s="381" customFormat="1" ht="33.75" customHeight="1">
      <c r="A16" s="255"/>
      <c r="B16" s="253"/>
      <c r="C16" s="253" t="s">
        <v>359</v>
      </c>
      <c r="D16" s="474" t="s">
        <v>360</v>
      </c>
      <c r="E16" s="185"/>
      <c r="F16" s="259"/>
      <c r="G16" s="259">
        <v>4000</v>
      </c>
    </row>
    <row r="17" spans="1:7" s="381" customFormat="1" ht="12.75">
      <c r="A17" s="255" t="s">
        <v>169</v>
      </c>
      <c r="B17" s="255"/>
      <c r="C17" s="253"/>
      <c r="D17" s="25" t="s">
        <v>170</v>
      </c>
      <c r="E17" s="184">
        <f>SUM(E18)</f>
        <v>59000</v>
      </c>
      <c r="F17" s="146">
        <f>SUM(F18)</f>
        <v>59000</v>
      </c>
      <c r="G17" s="146">
        <f>SUM(G18)</f>
        <v>780000</v>
      </c>
    </row>
    <row r="18" spans="1:7" s="381" customFormat="1" ht="25.5">
      <c r="A18" s="252"/>
      <c r="B18" s="253" t="s">
        <v>171</v>
      </c>
      <c r="C18" s="253"/>
      <c r="D18" s="25" t="s">
        <v>172</v>
      </c>
      <c r="E18" s="184">
        <f>SUM(E19:E32)</f>
        <v>59000</v>
      </c>
      <c r="F18" s="184">
        <f>SUM(F19:F32)</f>
        <v>59000</v>
      </c>
      <c r="G18" s="250">
        <f>SUM(G19:G32)</f>
        <v>780000</v>
      </c>
    </row>
    <row r="19" spans="1:7" s="381" customFormat="1" ht="46.5" customHeight="1">
      <c r="A19" s="256"/>
      <c r="B19" s="252"/>
      <c r="C19" s="253" t="s">
        <v>165</v>
      </c>
      <c r="D19" s="474" t="s">
        <v>166</v>
      </c>
      <c r="E19" s="249">
        <v>59000</v>
      </c>
      <c r="F19" s="259"/>
      <c r="G19" s="324"/>
    </row>
    <row r="20" spans="1:8" s="381" customFormat="1" ht="12.75">
      <c r="A20" s="256"/>
      <c r="B20" s="256"/>
      <c r="C20" s="253" t="s">
        <v>361</v>
      </c>
      <c r="D20" s="474" t="s">
        <v>362</v>
      </c>
      <c r="E20" s="249"/>
      <c r="F20" s="259">
        <v>2187</v>
      </c>
      <c r="G20" s="324"/>
      <c r="H20" s="451"/>
    </row>
    <row r="21" spans="1:7" s="381" customFormat="1" ht="12.75">
      <c r="A21" s="256"/>
      <c r="B21" s="256"/>
      <c r="C21" s="253" t="s">
        <v>363</v>
      </c>
      <c r="D21" s="474" t="s">
        <v>364</v>
      </c>
      <c r="E21" s="249"/>
      <c r="F21" s="259">
        <v>353</v>
      </c>
      <c r="G21" s="324"/>
    </row>
    <row r="22" spans="1:7" s="381" customFormat="1" ht="12.75">
      <c r="A22" s="256"/>
      <c r="B22" s="256"/>
      <c r="C22" s="253" t="s">
        <v>365</v>
      </c>
      <c r="D22" s="474" t="s">
        <v>366</v>
      </c>
      <c r="E22" s="249"/>
      <c r="F22" s="259">
        <v>14393</v>
      </c>
      <c r="G22" s="324"/>
    </row>
    <row r="23" spans="1:7" s="381" customFormat="1" ht="12.75" hidden="1">
      <c r="A23" s="256"/>
      <c r="B23" s="256"/>
      <c r="C23" s="253" t="s">
        <v>367</v>
      </c>
      <c r="D23" s="474" t="s">
        <v>368</v>
      </c>
      <c r="E23" s="249"/>
      <c r="F23" s="259">
        <v>0</v>
      </c>
      <c r="G23" s="324"/>
    </row>
    <row r="24" spans="1:7" s="381" customFormat="1" ht="12.75">
      <c r="A24" s="256"/>
      <c r="B24" s="256"/>
      <c r="C24" s="253" t="s">
        <v>369</v>
      </c>
      <c r="D24" s="474" t="s">
        <v>358</v>
      </c>
      <c r="E24" s="249"/>
      <c r="F24" s="259">
        <v>15442</v>
      </c>
      <c r="G24" s="324"/>
    </row>
    <row r="25" spans="1:7" s="381" customFormat="1" ht="22.5">
      <c r="A25" s="256"/>
      <c r="B25" s="256"/>
      <c r="C25" s="253" t="s">
        <v>455</v>
      </c>
      <c r="D25" s="474" t="s">
        <v>456</v>
      </c>
      <c r="E25" s="249"/>
      <c r="F25" s="259">
        <v>3735</v>
      </c>
      <c r="G25" s="324"/>
    </row>
    <row r="26" spans="1:7" s="381" customFormat="1" ht="22.5" hidden="1">
      <c r="A26" s="256"/>
      <c r="B26" s="256"/>
      <c r="C26" s="253" t="s">
        <v>370</v>
      </c>
      <c r="D26" s="372" t="s">
        <v>371</v>
      </c>
      <c r="E26" s="249"/>
      <c r="F26" s="259">
        <v>0</v>
      </c>
      <c r="G26" s="324"/>
    </row>
    <row r="27" spans="1:7" s="381" customFormat="1" ht="12.75">
      <c r="A27" s="256"/>
      <c r="B27" s="256"/>
      <c r="C27" s="253" t="s">
        <v>372</v>
      </c>
      <c r="D27" s="474" t="s">
        <v>373</v>
      </c>
      <c r="E27" s="249"/>
      <c r="F27" s="259">
        <v>14</v>
      </c>
      <c r="G27" s="324"/>
    </row>
    <row r="28" spans="1:7" s="381" customFormat="1" ht="12.75" hidden="1">
      <c r="A28" s="256"/>
      <c r="B28" s="256"/>
      <c r="C28" s="253" t="s">
        <v>374</v>
      </c>
      <c r="D28" s="372" t="s">
        <v>375</v>
      </c>
      <c r="E28" s="249"/>
      <c r="F28" s="259">
        <v>0</v>
      </c>
      <c r="G28" s="324"/>
    </row>
    <row r="29" spans="1:7" s="381" customFormat="1" ht="22.5">
      <c r="A29" s="256"/>
      <c r="B29" s="256"/>
      <c r="C29" s="253" t="s">
        <v>437</v>
      </c>
      <c r="D29" s="372" t="s">
        <v>438</v>
      </c>
      <c r="E29" s="249"/>
      <c r="F29" s="259">
        <v>21164</v>
      </c>
      <c r="G29" s="324"/>
    </row>
    <row r="30" spans="1:7" s="381" customFormat="1" ht="22.5">
      <c r="A30" s="256"/>
      <c r="B30" s="256"/>
      <c r="C30" s="253" t="s">
        <v>457</v>
      </c>
      <c r="D30" s="372" t="s">
        <v>458</v>
      </c>
      <c r="E30" s="249"/>
      <c r="F30" s="259">
        <v>260</v>
      </c>
      <c r="G30" s="324"/>
    </row>
    <row r="31" spans="1:7" s="381" customFormat="1" ht="22.5">
      <c r="A31" s="256"/>
      <c r="B31" s="256"/>
      <c r="C31" s="253" t="s">
        <v>391</v>
      </c>
      <c r="D31" s="372" t="s">
        <v>392</v>
      </c>
      <c r="E31" s="249"/>
      <c r="F31" s="259">
        <v>1452</v>
      </c>
      <c r="G31" s="324"/>
    </row>
    <row r="32" spans="1:7" s="381" customFormat="1" ht="32.25" customHeight="1">
      <c r="A32" s="256"/>
      <c r="B32" s="255"/>
      <c r="C32" s="253" t="s">
        <v>359</v>
      </c>
      <c r="D32" s="474" t="s">
        <v>360</v>
      </c>
      <c r="E32" s="184"/>
      <c r="F32" s="259"/>
      <c r="G32" s="259">
        <v>780000</v>
      </c>
    </row>
    <row r="33" spans="1:7" s="381" customFormat="1" ht="15" customHeight="1">
      <c r="A33" s="252" t="s">
        <v>173</v>
      </c>
      <c r="B33" s="253"/>
      <c r="C33" s="253"/>
      <c r="D33" s="25" t="s">
        <v>174</v>
      </c>
      <c r="E33" s="184">
        <f>SUM(E34,E37,E40)</f>
        <v>337211</v>
      </c>
      <c r="F33" s="250">
        <f>SUM(F34,F37,F40)</f>
        <v>337211</v>
      </c>
      <c r="G33" s="250">
        <f>SUM(G34,G37,G40)</f>
        <v>0</v>
      </c>
    </row>
    <row r="34" spans="1:7" s="381" customFormat="1" ht="18" customHeight="1">
      <c r="A34" s="252"/>
      <c r="B34" s="254" t="s">
        <v>175</v>
      </c>
      <c r="C34" s="253"/>
      <c r="D34" s="25" t="s">
        <v>176</v>
      </c>
      <c r="E34" s="184">
        <f>SUM(E35)</f>
        <v>40000</v>
      </c>
      <c r="F34" s="146">
        <f>SUM(F35:F36)</f>
        <v>40000</v>
      </c>
      <c r="G34" s="146">
        <f>SUM(G35:G36)</f>
        <v>0</v>
      </c>
    </row>
    <row r="35" spans="1:7" s="381" customFormat="1" ht="45.75" customHeight="1">
      <c r="A35" s="256"/>
      <c r="B35" s="472"/>
      <c r="C35" s="253" t="s">
        <v>165</v>
      </c>
      <c r="D35" s="474" t="s">
        <v>166</v>
      </c>
      <c r="E35" s="185">
        <v>40000</v>
      </c>
      <c r="F35" s="259"/>
      <c r="G35" s="324"/>
    </row>
    <row r="36" spans="1:7" s="381" customFormat="1" ht="12.75">
      <c r="A36" s="256"/>
      <c r="B36" s="468"/>
      <c r="C36" s="253" t="s">
        <v>369</v>
      </c>
      <c r="D36" s="474" t="s">
        <v>358</v>
      </c>
      <c r="E36" s="184"/>
      <c r="F36" s="259">
        <v>40000</v>
      </c>
      <c r="G36" s="324"/>
    </row>
    <row r="37" spans="1:7" s="381" customFormat="1" ht="25.5">
      <c r="A37" s="256"/>
      <c r="B37" s="472" t="s">
        <v>177</v>
      </c>
      <c r="C37" s="253"/>
      <c r="D37" s="25" t="s">
        <v>178</v>
      </c>
      <c r="E37" s="184">
        <f>SUM(E38)</f>
        <v>8000</v>
      </c>
      <c r="F37" s="146">
        <f>SUM(F38:F39)</f>
        <v>8000</v>
      </c>
      <c r="G37" s="146">
        <f>SUM(G38:G39)</f>
        <v>0</v>
      </c>
    </row>
    <row r="38" spans="1:7" s="381" customFormat="1" ht="45.75" customHeight="1">
      <c r="A38" s="256"/>
      <c r="B38" s="472"/>
      <c r="C38" s="254" t="s">
        <v>165</v>
      </c>
      <c r="D38" s="474" t="s">
        <v>166</v>
      </c>
      <c r="E38" s="249">
        <v>8000</v>
      </c>
      <c r="F38" s="259"/>
      <c r="G38" s="324"/>
    </row>
    <row r="39" spans="1:7" s="381" customFormat="1" ht="12.75">
      <c r="A39" s="256"/>
      <c r="B39" s="468"/>
      <c r="C39" s="468" t="s">
        <v>369</v>
      </c>
      <c r="D39" s="465" t="s">
        <v>358</v>
      </c>
      <c r="E39" s="469"/>
      <c r="F39" s="370">
        <v>8000</v>
      </c>
      <c r="G39" s="466"/>
    </row>
    <row r="40" spans="1:7" s="381" customFormat="1" ht="15" customHeight="1">
      <c r="A40" s="256"/>
      <c r="B40" s="467" t="s">
        <v>179</v>
      </c>
      <c r="C40" s="253"/>
      <c r="D40" s="25" t="s">
        <v>180</v>
      </c>
      <c r="E40" s="184">
        <f>SUM(E41:E55)</f>
        <v>289211</v>
      </c>
      <c r="F40" s="184">
        <f>SUM(F42:F59)</f>
        <v>289211</v>
      </c>
      <c r="G40" s="250">
        <f>SUM(G41:G55)</f>
        <v>0</v>
      </c>
    </row>
    <row r="41" spans="1:7" s="381" customFormat="1" ht="47.25" customHeight="1">
      <c r="A41" s="476"/>
      <c r="B41" s="253"/>
      <c r="C41" s="254" t="s">
        <v>165</v>
      </c>
      <c r="D41" s="474" t="s">
        <v>166</v>
      </c>
      <c r="E41" s="249">
        <f>279072+10139</f>
        <v>289211</v>
      </c>
      <c r="F41" s="259"/>
      <c r="G41" s="324"/>
    </row>
    <row r="42" spans="1:7" s="381" customFormat="1" ht="13.5" customHeight="1">
      <c r="A42" s="499" t="s">
        <v>173</v>
      </c>
      <c r="B42" s="253" t="s">
        <v>179</v>
      </c>
      <c r="C42" s="254" t="s">
        <v>376</v>
      </c>
      <c r="D42" s="474" t="s">
        <v>377</v>
      </c>
      <c r="E42" s="249"/>
      <c r="F42" s="259">
        <v>57448</v>
      </c>
      <c r="G42" s="324"/>
    </row>
    <row r="43" spans="1:7" s="381" customFormat="1" ht="22.5">
      <c r="A43" s="477"/>
      <c r="B43" s="252"/>
      <c r="C43" s="468" t="s">
        <v>378</v>
      </c>
      <c r="D43" s="465" t="s">
        <v>379</v>
      </c>
      <c r="E43" s="469"/>
      <c r="F43" s="370">
        <v>130634</v>
      </c>
      <c r="G43" s="466"/>
    </row>
    <row r="44" spans="1:7" s="381" customFormat="1" ht="12.75">
      <c r="A44" s="478"/>
      <c r="B44" s="464"/>
      <c r="C44" s="254" t="s">
        <v>380</v>
      </c>
      <c r="D44" s="474" t="s">
        <v>381</v>
      </c>
      <c r="E44" s="249"/>
      <c r="F44" s="259">
        <v>9889</v>
      </c>
      <c r="G44" s="324"/>
    </row>
    <row r="45" spans="1:7" s="381" customFormat="1" ht="12.75">
      <c r="A45" s="479"/>
      <c r="B45" s="256"/>
      <c r="C45" s="254" t="s">
        <v>361</v>
      </c>
      <c r="D45" s="474" t="s">
        <v>362</v>
      </c>
      <c r="E45" s="249"/>
      <c r="F45" s="259">
        <v>31347</v>
      </c>
      <c r="G45" s="324"/>
    </row>
    <row r="46" spans="1:7" s="381" customFormat="1" ht="12.75">
      <c r="A46" s="479"/>
      <c r="B46" s="256"/>
      <c r="C46" s="468" t="s">
        <v>363</v>
      </c>
      <c r="D46" s="465" t="s">
        <v>364</v>
      </c>
      <c r="E46" s="469"/>
      <c r="F46" s="370">
        <v>4783</v>
      </c>
      <c r="G46" s="466"/>
    </row>
    <row r="47" spans="1:7" s="381" customFormat="1" ht="12.75">
      <c r="A47" s="479"/>
      <c r="B47" s="256"/>
      <c r="C47" s="254" t="s">
        <v>365</v>
      </c>
      <c r="D47" s="474" t="s">
        <v>366</v>
      </c>
      <c r="E47" s="249"/>
      <c r="F47" s="259">
        <v>2400</v>
      </c>
      <c r="G47" s="324"/>
    </row>
    <row r="48" spans="1:7" s="381" customFormat="1" ht="12.75">
      <c r="A48" s="478"/>
      <c r="B48" s="464"/>
      <c r="C48" s="254" t="s">
        <v>382</v>
      </c>
      <c r="D48" s="474" t="s">
        <v>383</v>
      </c>
      <c r="E48" s="249"/>
      <c r="F48" s="259">
        <v>12923</v>
      </c>
      <c r="G48" s="324"/>
    </row>
    <row r="49" spans="1:7" s="381" customFormat="1" ht="12.75">
      <c r="A49" s="478"/>
      <c r="B49" s="464"/>
      <c r="C49" s="254" t="s">
        <v>367</v>
      </c>
      <c r="D49" s="480" t="s">
        <v>415</v>
      </c>
      <c r="E49" s="249"/>
      <c r="F49" s="259">
        <v>354</v>
      </c>
      <c r="G49" s="324"/>
    </row>
    <row r="50" spans="1:7" s="381" customFormat="1" ht="12.75">
      <c r="A50" s="478"/>
      <c r="B50" s="464"/>
      <c r="C50" s="254" t="s">
        <v>416</v>
      </c>
      <c r="D50" s="529" t="s">
        <v>417</v>
      </c>
      <c r="E50" s="249"/>
      <c r="F50" s="259">
        <v>60</v>
      </c>
      <c r="G50" s="324"/>
    </row>
    <row r="51" spans="1:7" s="381" customFormat="1" ht="12.75">
      <c r="A51" s="479"/>
      <c r="B51" s="256"/>
      <c r="C51" s="254" t="s">
        <v>369</v>
      </c>
      <c r="D51" s="474" t="s">
        <v>358</v>
      </c>
      <c r="E51" s="249"/>
      <c r="F51" s="259">
        <v>20411</v>
      </c>
      <c r="G51" s="324"/>
    </row>
    <row r="52" spans="1:7" s="381" customFormat="1" ht="25.5" customHeight="1">
      <c r="A52" s="479"/>
      <c r="B52" s="256"/>
      <c r="C52" s="254" t="s">
        <v>384</v>
      </c>
      <c r="D52" s="474" t="s">
        <v>385</v>
      </c>
      <c r="E52" s="249"/>
      <c r="F52" s="259">
        <v>5743</v>
      </c>
      <c r="G52" s="324"/>
    </row>
    <row r="53" spans="1:7" s="381" customFormat="1" ht="13.5" customHeight="1">
      <c r="A53" s="479"/>
      <c r="B53" s="256"/>
      <c r="C53" s="254" t="s">
        <v>393</v>
      </c>
      <c r="D53" s="474" t="s">
        <v>394</v>
      </c>
      <c r="E53" s="249"/>
      <c r="F53" s="259">
        <v>22</v>
      </c>
      <c r="G53" s="324"/>
    </row>
    <row r="54" spans="1:7" s="381" customFormat="1" ht="12.75" hidden="1">
      <c r="A54" s="479"/>
      <c r="B54" s="256"/>
      <c r="C54" s="254" t="s">
        <v>372</v>
      </c>
      <c r="D54" s="474" t="s">
        <v>386</v>
      </c>
      <c r="E54" s="249"/>
      <c r="F54" s="259">
        <v>0</v>
      </c>
      <c r="G54" s="324"/>
    </row>
    <row r="55" spans="1:7" s="381" customFormat="1" ht="22.5">
      <c r="A55" s="479"/>
      <c r="B55" s="256"/>
      <c r="C55" s="254" t="s">
        <v>387</v>
      </c>
      <c r="D55" s="474" t="s">
        <v>388</v>
      </c>
      <c r="E55" s="249"/>
      <c r="F55" s="259">
        <v>4231</v>
      </c>
      <c r="G55" s="324"/>
    </row>
    <row r="56" spans="1:7" s="381" customFormat="1" ht="12.75">
      <c r="A56" s="479"/>
      <c r="B56" s="256"/>
      <c r="C56" s="254" t="s">
        <v>372</v>
      </c>
      <c r="D56" s="474" t="s">
        <v>373</v>
      </c>
      <c r="E56" s="249"/>
      <c r="F56" s="259">
        <v>1337</v>
      </c>
      <c r="G56" s="324"/>
    </row>
    <row r="57" spans="1:7" s="381" customFormat="1" ht="22.5">
      <c r="A57" s="479"/>
      <c r="B57" s="256"/>
      <c r="C57" s="254" t="s">
        <v>457</v>
      </c>
      <c r="D57" s="372" t="s">
        <v>458</v>
      </c>
      <c r="E57" s="249"/>
      <c r="F57" s="259">
        <v>171</v>
      </c>
      <c r="G57" s="324"/>
    </row>
    <row r="58" spans="1:7" s="381" customFormat="1" ht="22.5">
      <c r="A58" s="479"/>
      <c r="B58" s="256"/>
      <c r="C58" s="254" t="s">
        <v>389</v>
      </c>
      <c r="D58" s="474" t="s">
        <v>390</v>
      </c>
      <c r="E58" s="249"/>
      <c r="F58" s="259">
        <v>762</v>
      </c>
      <c r="G58" s="324"/>
    </row>
    <row r="59" spans="1:7" s="381" customFormat="1" ht="25.5" customHeight="1">
      <c r="A59" s="476"/>
      <c r="B59" s="255"/>
      <c r="C59" s="254" t="s">
        <v>391</v>
      </c>
      <c r="D59" s="474" t="s">
        <v>392</v>
      </c>
      <c r="E59" s="249"/>
      <c r="F59" s="259">
        <v>6696</v>
      </c>
      <c r="G59" s="324"/>
    </row>
    <row r="60" spans="1:7" s="381" customFormat="1" ht="12.75">
      <c r="A60" s="256" t="s">
        <v>182</v>
      </c>
      <c r="B60" s="255"/>
      <c r="C60" s="253"/>
      <c r="D60" s="25" t="s">
        <v>183</v>
      </c>
      <c r="E60" s="184">
        <f>SUM(E61,E72)</f>
        <v>284104</v>
      </c>
      <c r="F60" s="250">
        <f>SUM(F61,F72)</f>
        <v>284104</v>
      </c>
      <c r="G60" s="250">
        <f>SUM(G61,G72)</f>
        <v>0</v>
      </c>
    </row>
    <row r="61" spans="1:7" s="381" customFormat="1" ht="12.75">
      <c r="A61" s="252"/>
      <c r="B61" s="254" t="s">
        <v>184</v>
      </c>
      <c r="C61" s="253"/>
      <c r="D61" s="25" t="s">
        <v>185</v>
      </c>
      <c r="E61" s="184">
        <f>SUM(E62)</f>
        <v>256163</v>
      </c>
      <c r="F61" s="146">
        <f>SUM(F63:F71)</f>
        <v>256163</v>
      </c>
      <c r="G61" s="146">
        <f>SUM(G63:G65)</f>
        <v>0</v>
      </c>
    </row>
    <row r="62" spans="1:7" s="381" customFormat="1" ht="44.25" customHeight="1">
      <c r="A62" s="256"/>
      <c r="B62" s="472"/>
      <c r="C62" s="253" t="s">
        <v>165</v>
      </c>
      <c r="D62" s="474" t="s">
        <v>166</v>
      </c>
      <c r="E62" s="185">
        <v>256163</v>
      </c>
      <c r="F62" s="259"/>
      <c r="G62" s="324"/>
    </row>
    <row r="63" spans="1:7" s="381" customFormat="1" ht="13.5" customHeight="1">
      <c r="A63" s="256"/>
      <c r="B63" s="467"/>
      <c r="C63" s="253" t="s">
        <v>376</v>
      </c>
      <c r="D63" s="474" t="s">
        <v>377</v>
      </c>
      <c r="E63" s="184"/>
      <c r="F63" s="259">
        <v>201997</v>
      </c>
      <c r="G63" s="324"/>
    </row>
    <row r="64" spans="1:7" s="381" customFormat="1" ht="13.5" customHeight="1">
      <c r="A64" s="256"/>
      <c r="B64" s="467"/>
      <c r="C64" s="253" t="s">
        <v>380</v>
      </c>
      <c r="D64" s="474" t="s">
        <v>381</v>
      </c>
      <c r="E64" s="184"/>
      <c r="F64" s="259">
        <v>8586</v>
      </c>
      <c r="G64" s="324"/>
    </row>
    <row r="65" spans="1:7" s="381" customFormat="1" ht="12.75">
      <c r="A65" s="256"/>
      <c r="B65" s="467"/>
      <c r="C65" s="253" t="s">
        <v>361</v>
      </c>
      <c r="D65" s="474" t="s">
        <v>362</v>
      </c>
      <c r="E65" s="184"/>
      <c r="F65" s="259">
        <v>6205</v>
      </c>
      <c r="G65" s="324"/>
    </row>
    <row r="66" spans="1:7" s="381" customFormat="1" ht="12.75">
      <c r="A66" s="256"/>
      <c r="B66" s="467"/>
      <c r="C66" s="253" t="s">
        <v>363</v>
      </c>
      <c r="D66" s="465" t="s">
        <v>364</v>
      </c>
      <c r="E66" s="184"/>
      <c r="F66" s="259">
        <v>1001</v>
      </c>
      <c r="G66" s="324"/>
    </row>
    <row r="67" spans="1:7" s="381" customFormat="1" ht="12.75">
      <c r="A67" s="256"/>
      <c r="B67" s="467"/>
      <c r="C67" s="253" t="s">
        <v>365</v>
      </c>
      <c r="D67" s="474" t="s">
        <v>366</v>
      </c>
      <c r="E67" s="184"/>
      <c r="F67" s="259">
        <v>36424</v>
      </c>
      <c r="G67" s="324"/>
    </row>
    <row r="68" spans="1:7" s="381" customFormat="1" ht="12.75">
      <c r="A68" s="256"/>
      <c r="B68" s="467"/>
      <c r="C68" s="254" t="s">
        <v>367</v>
      </c>
      <c r="D68" s="480" t="s">
        <v>415</v>
      </c>
      <c r="E68" s="184"/>
      <c r="F68" s="259">
        <v>1500</v>
      </c>
      <c r="G68" s="324"/>
    </row>
    <row r="69" spans="1:7" s="381" customFormat="1" ht="12.75">
      <c r="A69" s="256"/>
      <c r="B69" s="467"/>
      <c r="C69" s="254" t="s">
        <v>369</v>
      </c>
      <c r="D69" s="474" t="s">
        <v>358</v>
      </c>
      <c r="E69" s="184"/>
      <c r="F69" s="259">
        <v>450</v>
      </c>
      <c r="G69" s="324"/>
    </row>
    <row r="70" spans="1:7" s="381" customFormat="1" ht="22.5">
      <c r="A70" s="256"/>
      <c r="B70" s="467"/>
      <c r="C70" s="253" t="s">
        <v>389</v>
      </c>
      <c r="D70" s="474" t="s">
        <v>390</v>
      </c>
      <c r="E70" s="184"/>
      <c r="F70" s="259">
        <v>0</v>
      </c>
      <c r="G70" s="324"/>
    </row>
    <row r="71" spans="1:7" s="381" customFormat="1" ht="22.5">
      <c r="A71" s="256"/>
      <c r="B71" s="467"/>
      <c r="C71" s="253" t="s">
        <v>391</v>
      </c>
      <c r="D71" s="474" t="s">
        <v>392</v>
      </c>
      <c r="E71" s="184"/>
      <c r="F71" s="259">
        <v>0</v>
      </c>
      <c r="G71" s="324"/>
    </row>
    <row r="72" spans="1:7" s="381" customFormat="1" ht="12.75">
      <c r="A72" s="256"/>
      <c r="B72" s="472" t="s">
        <v>186</v>
      </c>
      <c r="C72" s="253"/>
      <c r="D72" s="25" t="s">
        <v>187</v>
      </c>
      <c r="E72" s="184">
        <f>SUM(E73)</f>
        <v>27941</v>
      </c>
      <c r="F72" s="146">
        <f>SUM(F74:F83)</f>
        <v>27941</v>
      </c>
      <c r="G72" s="146">
        <f>SUM(G73:G78)</f>
        <v>0</v>
      </c>
    </row>
    <row r="73" spans="1:7" s="381" customFormat="1" ht="45.75" customHeight="1">
      <c r="A73" s="479"/>
      <c r="B73" s="252"/>
      <c r="C73" s="254" t="s">
        <v>165</v>
      </c>
      <c r="D73" s="474" t="s">
        <v>166</v>
      </c>
      <c r="E73" s="249">
        <v>27941</v>
      </c>
      <c r="F73" s="259"/>
      <c r="G73" s="324"/>
    </row>
    <row r="74" spans="1:7" s="381" customFormat="1" ht="12.75">
      <c r="A74" s="479"/>
      <c r="B74" s="256"/>
      <c r="C74" s="254" t="s">
        <v>361</v>
      </c>
      <c r="D74" s="474" t="s">
        <v>362</v>
      </c>
      <c r="E74" s="249"/>
      <c r="F74" s="259">
        <v>1759</v>
      </c>
      <c r="G74" s="324"/>
    </row>
    <row r="75" spans="1:7" s="381" customFormat="1" ht="12.75">
      <c r="A75" s="479"/>
      <c r="B75" s="256"/>
      <c r="C75" s="254" t="s">
        <v>363</v>
      </c>
      <c r="D75" s="474" t="s">
        <v>364</v>
      </c>
      <c r="E75" s="249"/>
      <c r="F75" s="259">
        <v>48</v>
      </c>
      <c r="G75" s="324"/>
    </row>
    <row r="76" spans="1:7" s="381" customFormat="1" ht="12.75">
      <c r="A76" s="479"/>
      <c r="B76" s="256"/>
      <c r="C76" s="254" t="s">
        <v>365</v>
      </c>
      <c r="D76" s="372" t="s">
        <v>366</v>
      </c>
      <c r="E76" s="249"/>
      <c r="F76" s="259">
        <v>12520</v>
      </c>
      <c r="G76" s="324"/>
    </row>
    <row r="77" spans="1:7" s="381" customFormat="1" ht="12.75">
      <c r="A77" s="479"/>
      <c r="B77" s="256"/>
      <c r="C77" s="254" t="s">
        <v>382</v>
      </c>
      <c r="D77" s="474" t="s">
        <v>383</v>
      </c>
      <c r="E77" s="249"/>
      <c r="F77" s="259">
        <v>1054</v>
      </c>
      <c r="G77" s="324"/>
    </row>
    <row r="78" spans="1:7" s="381" customFormat="1" ht="12.75">
      <c r="A78" s="479"/>
      <c r="B78" s="256"/>
      <c r="C78" s="468" t="s">
        <v>369</v>
      </c>
      <c r="D78" s="474" t="s">
        <v>358</v>
      </c>
      <c r="E78" s="249"/>
      <c r="F78" s="259">
        <v>6221</v>
      </c>
      <c r="G78" s="324"/>
    </row>
    <row r="79" spans="1:7" s="381" customFormat="1" ht="25.5" customHeight="1">
      <c r="A79" s="479"/>
      <c r="B79" s="256"/>
      <c r="C79" s="254" t="s">
        <v>384</v>
      </c>
      <c r="D79" s="484" t="s">
        <v>385</v>
      </c>
      <c r="E79" s="249"/>
      <c r="F79" s="259">
        <v>75</v>
      </c>
      <c r="G79" s="324"/>
    </row>
    <row r="80" spans="1:7" s="381" customFormat="1" ht="22.5">
      <c r="A80" s="479"/>
      <c r="B80" s="256"/>
      <c r="C80" s="254" t="s">
        <v>370</v>
      </c>
      <c r="D80" s="485" t="s">
        <v>371</v>
      </c>
      <c r="E80" s="249"/>
      <c r="F80" s="259">
        <v>5282</v>
      </c>
      <c r="G80" s="324"/>
    </row>
    <row r="81" spans="1:7" s="381" customFormat="1" ht="12.75">
      <c r="A81" s="479"/>
      <c r="B81" s="256"/>
      <c r="C81" s="254" t="s">
        <v>393</v>
      </c>
      <c r="D81" s="485" t="s">
        <v>394</v>
      </c>
      <c r="E81" s="249"/>
      <c r="F81" s="259">
        <v>22</v>
      </c>
      <c r="G81" s="324"/>
    </row>
    <row r="82" spans="1:7" s="381" customFormat="1" ht="22.5">
      <c r="A82" s="479"/>
      <c r="B82" s="256"/>
      <c r="C82" s="254" t="s">
        <v>389</v>
      </c>
      <c r="D82" s="474" t="s">
        <v>390</v>
      </c>
      <c r="E82" s="249"/>
      <c r="F82" s="259">
        <v>700</v>
      </c>
      <c r="G82" s="324"/>
    </row>
    <row r="83" spans="1:7" s="381" customFormat="1" ht="22.5">
      <c r="A83" s="479"/>
      <c r="B83" s="256"/>
      <c r="C83" s="254" t="s">
        <v>391</v>
      </c>
      <c r="D83" s="474" t="s">
        <v>392</v>
      </c>
      <c r="E83" s="249"/>
      <c r="F83" s="259">
        <v>260</v>
      </c>
      <c r="G83" s="324"/>
    </row>
    <row r="84" spans="1:7" s="381" customFormat="1" ht="27.75" customHeight="1">
      <c r="A84" s="253" t="s">
        <v>188</v>
      </c>
      <c r="B84" s="253"/>
      <c r="C84" s="253"/>
      <c r="D84" s="25" t="s">
        <v>189</v>
      </c>
      <c r="E84" s="184">
        <f>SUM(E85,E122)</f>
        <v>3341817</v>
      </c>
      <c r="F84" s="184">
        <f>SUM(F85,F122)</f>
        <v>3341817</v>
      </c>
      <c r="G84" s="250">
        <f>G85</f>
        <v>7000</v>
      </c>
    </row>
    <row r="85" spans="1:7" s="381" customFormat="1" ht="27.75" customHeight="1">
      <c r="A85" s="252" t="s">
        <v>188</v>
      </c>
      <c r="B85" s="472" t="s">
        <v>190</v>
      </c>
      <c r="C85" s="254"/>
      <c r="D85" s="25" t="s">
        <v>191</v>
      </c>
      <c r="E85" s="184">
        <f>SUM(E86:E87)</f>
        <v>3341817</v>
      </c>
      <c r="F85" s="250">
        <f>SUM(F88:F120)</f>
        <v>3341817</v>
      </c>
      <c r="G85" s="146">
        <f>SUM(G86:G121)</f>
        <v>7000</v>
      </c>
    </row>
    <row r="86" spans="1:7" s="381" customFormat="1" ht="46.5" customHeight="1">
      <c r="A86" s="477"/>
      <c r="B86" s="252"/>
      <c r="C86" s="254" t="s">
        <v>165</v>
      </c>
      <c r="D86" s="474" t="s">
        <v>166</v>
      </c>
      <c r="E86" s="259">
        <v>2960217</v>
      </c>
      <c r="F86" s="259"/>
      <c r="G86" s="481"/>
    </row>
    <row r="87" spans="1:7" s="381" customFormat="1" ht="48" customHeight="1">
      <c r="A87" s="479"/>
      <c r="B87" s="256"/>
      <c r="C87" s="468" t="s">
        <v>181</v>
      </c>
      <c r="D87" s="465" t="s">
        <v>293</v>
      </c>
      <c r="E87" s="370">
        <v>381600</v>
      </c>
      <c r="F87" s="370"/>
      <c r="G87" s="482"/>
    </row>
    <row r="88" spans="1:7" s="381" customFormat="1" ht="12.75">
      <c r="A88" s="479"/>
      <c r="B88" s="256"/>
      <c r="C88" s="468" t="s">
        <v>395</v>
      </c>
      <c r="D88" s="486" t="s">
        <v>396</v>
      </c>
      <c r="E88" s="370"/>
      <c r="F88" s="370">
        <v>0</v>
      </c>
      <c r="G88" s="482"/>
    </row>
    <row r="89" spans="1:7" s="381" customFormat="1" ht="24.75" customHeight="1">
      <c r="A89" s="479"/>
      <c r="B89" s="256"/>
      <c r="C89" s="254" t="s">
        <v>397</v>
      </c>
      <c r="D89" s="474" t="s">
        <v>398</v>
      </c>
      <c r="E89" s="249"/>
      <c r="F89" s="259">
        <v>165558</v>
      </c>
      <c r="G89" s="481"/>
    </row>
    <row r="90" spans="1:7" s="381" customFormat="1" ht="15.75" customHeight="1">
      <c r="A90" s="479"/>
      <c r="B90" s="256"/>
      <c r="C90" s="254" t="s">
        <v>376</v>
      </c>
      <c r="D90" s="474" t="s">
        <v>377</v>
      </c>
      <c r="E90" s="249"/>
      <c r="F90" s="259">
        <v>19438</v>
      </c>
      <c r="G90" s="481"/>
    </row>
    <row r="91" spans="1:7" s="381" customFormat="1" ht="22.5">
      <c r="A91" s="479"/>
      <c r="B91" s="256"/>
      <c r="C91" s="254" t="s">
        <v>378</v>
      </c>
      <c r="D91" s="372" t="s">
        <v>379</v>
      </c>
      <c r="E91" s="249"/>
      <c r="F91" s="259">
        <v>32811</v>
      </c>
      <c r="G91" s="481"/>
    </row>
    <row r="92" spans="1:7" s="381" customFormat="1" ht="12.75">
      <c r="A92" s="479"/>
      <c r="B92" s="256"/>
      <c r="C92" s="468" t="s">
        <v>380</v>
      </c>
      <c r="D92" s="465" t="s">
        <v>381</v>
      </c>
      <c r="E92" s="469"/>
      <c r="F92" s="370">
        <v>610</v>
      </c>
      <c r="G92" s="482"/>
    </row>
    <row r="93" spans="1:7" s="381" customFormat="1" ht="23.25" customHeight="1">
      <c r="A93" s="479"/>
      <c r="B93" s="256"/>
      <c r="C93" s="254" t="s">
        <v>399</v>
      </c>
      <c r="D93" s="474" t="s">
        <v>400</v>
      </c>
      <c r="E93" s="249"/>
      <c r="F93" s="259">
        <v>1933000</v>
      </c>
      <c r="G93" s="481"/>
    </row>
    <row r="94" spans="1:7" s="381" customFormat="1" ht="23.25" customHeight="1">
      <c r="A94" s="479"/>
      <c r="B94" s="256"/>
      <c r="C94" s="468" t="s">
        <v>401</v>
      </c>
      <c r="D94" s="465" t="s">
        <v>402</v>
      </c>
      <c r="E94" s="469"/>
      <c r="F94" s="370">
        <v>68805</v>
      </c>
      <c r="G94" s="482"/>
    </row>
    <row r="95" spans="1:7" s="381" customFormat="1" ht="21.75" customHeight="1">
      <c r="A95" s="479"/>
      <c r="B95" s="256"/>
      <c r="C95" s="254" t="s">
        <v>403</v>
      </c>
      <c r="D95" s="474" t="s">
        <v>404</v>
      </c>
      <c r="E95" s="249"/>
      <c r="F95" s="259">
        <v>123941</v>
      </c>
      <c r="G95" s="481"/>
    </row>
    <row r="96" spans="1:7" s="381" customFormat="1" ht="36" customHeight="1">
      <c r="A96" s="479"/>
      <c r="B96" s="256"/>
      <c r="C96" s="254" t="s">
        <v>405</v>
      </c>
      <c r="D96" s="372" t="s">
        <v>406</v>
      </c>
      <c r="E96" s="249"/>
      <c r="F96" s="259">
        <v>77958</v>
      </c>
      <c r="G96" s="481"/>
    </row>
    <row r="97" spans="1:7" s="381" customFormat="1" ht="12.75">
      <c r="A97" s="479"/>
      <c r="B97" s="256"/>
      <c r="C97" s="254" t="s">
        <v>361</v>
      </c>
      <c r="D97" s="474" t="s">
        <v>362</v>
      </c>
      <c r="E97" s="249"/>
      <c r="F97" s="259">
        <v>9870</v>
      </c>
      <c r="G97" s="481"/>
    </row>
    <row r="98" spans="1:7" s="381" customFormat="1" ht="12.75">
      <c r="A98" s="479"/>
      <c r="B98" s="256"/>
      <c r="C98" s="254" t="s">
        <v>363</v>
      </c>
      <c r="D98" s="474" t="s">
        <v>364</v>
      </c>
      <c r="E98" s="249"/>
      <c r="F98" s="259">
        <v>1143</v>
      </c>
      <c r="G98" s="481"/>
    </row>
    <row r="99" spans="1:7" s="381" customFormat="1" ht="12.75">
      <c r="A99" s="479"/>
      <c r="B99" s="256"/>
      <c r="C99" s="254" t="s">
        <v>365</v>
      </c>
      <c r="D99" s="372" t="s">
        <v>366</v>
      </c>
      <c r="E99" s="249"/>
      <c r="F99" s="259">
        <v>2056</v>
      </c>
      <c r="G99" s="481"/>
    </row>
    <row r="100" spans="1:7" s="381" customFormat="1" ht="22.5" customHeight="1">
      <c r="A100" s="479"/>
      <c r="B100" s="256"/>
      <c r="C100" s="254" t="s">
        <v>407</v>
      </c>
      <c r="D100" s="474" t="s">
        <v>408</v>
      </c>
      <c r="E100" s="249"/>
      <c r="F100" s="259">
        <v>87826</v>
      </c>
      <c r="G100" s="481"/>
    </row>
    <row r="101" spans="1:7" s="381" customFormat="1" ht="11.25" customHeight="1">
      <c r="A101" s="479"/>
      <c r="B101" s="256"/>
      <c r="C101" s="254" t="s">
        <v>382</v>
      </c>
      <c r="D101" s="474" t="s">
        <v>383</v>
      </c>
      <c r="E101" s="249"/>
      <c r="F101" s="259">
        <v>202509</v>
      </c>
      <c r="G101" s="481"/>
    </row>
    <row r="102" spans="1:7" s="381" customFormat="1" ht="12.75" customHeight="1">
      <c r="A102" s="478"/>
      <c r="B102" s="464"/>
      <c r="C102" s="254" t="s">
        <v>409</v>
      </c>
      <c r="D102" s="474" t="s">
        <v>410</v>
      </c>
      <c r="E102" s="249"/>
      <c r="F102" s="259">
        <v>558</v>
      </c>
      <c r="G102" s="481"/>
    </row>
    <row r="103" spans="1:7" s="381" customFormat="1" ht="12.75" customHeight="1" hidden="1">
      <c r="A103" s="478"/>
      <c r="B103" s="464"/>
      <c r="C103" s="254" t="s">
        <v>411</v>
      </c>
      <c r="D103" s="372" t="s">
        <v>412</v>
      </c>
      <c r="E103" s="249"/>
      <c r="F103" s="259">
        <v>0</v>
      </c>
      <c r="G103" s="481"/>
    </row>
    <row r="104" spans="1:7" s="381" customFormat="1" ht="12" customHeight="1">
      <c r="A104" s="479"/>
      <c r="B104" s="256"/>
      <c r="C104" s="254" t="s">
        <v>413</v>
      </c>
      <c r="D104" s="474" t="s">
        <v>414</v>
      </c>
      <c r="E104" s="249"/>
      <c r="F104" s="259">
        <v>71724</v>
      </c>
      <c r="G104" s="481"/>
    </row>
    <row r="105" spans="1:7" s="381" customFormat="1" ht="12.75" customHeight="1">
      <c r="A105" s="479"/>
      <c r="B105" s="256"/>
      <c r="C105" s="254" t="s">
        <v>367</v>
      </c>
      <c r="D105" s="474" t="s">
        <v>415</v>
      </c>
      <c r="E105" s="249"/>
      <c r="F105" s="259">
        <v>67958</v>
      </c>
      <c r="G105" s="481"/>
    </row>
    <row r="106" spans="1:7" s="381" customFormat="1" ht="12.75" customHeight="1">
      <c r="A106" s="479"/>
      <c r="B106" s="256"/>
      <c r="C106" s="254" t="s">
        <v>416</v>
      </c>
      <c r="D106" s="474" t="s">
        <v>417</v>
      </c>
      <c r="E106" s="249"/>
      <c r="F106" s="259">
        <v>17020</v>
      </c>
      <c r="G106" s="481"/>
    </row>
    <row r="107" spans="1:7" s="381" customFormat="1" ht="13.5" customHeight="1">
      <c r="A107" s="479"/>
      <c r="B107" s="256"/>
      <c r="C107" s="254" t="s">
        <v>369</v>
      </c>
      <c r="D107" s="474" t="s">
        <v>358</v>
      </c>
      <c r="E107" s="249"/>
      <c r="F107" s="259">
        <v>33916</v>
      </c>
      <c r="G107" s="481"/>
    </row>
    <row r="108" spans="1:7" s="381" customFormat="1" ht="11.25" customHeight="1">
      <c r="A108" s="479"/>
      <c r="B108" s="256"/>
      <c r="C108" s="254" t="s">
        <v>418</v>
      </c>
      <c r="D108" s="485" t="s">
        <v>419</v>
      </c>
      <c r="E108" s="249"/>
      <c r="F108" s="259">
        <v>4377</v>
      </c>
      <c r="G108" s="481"/>
    </row>
    <row r="109" spans="1:7" s="381" customFormat="1" ht="24.75" customHeight="1">
      <c r="A109" s="479"/>
      <c r="B109" s="256"/>
      <c r="C109" s="254" t="s">
        <v>420</v>
      </c>
      <c r="D109" s="485" t="s">
        <v>421</v>
      </c>
      <c r="E109" s="249"/>
      <c r="F109" s="259">
        <v>7081</v>
      </c>
      <c r="G109" s="481"/>
    </row>
    <row r="110" spans="1:7" s="381" customFormat="1" ht="25.5" customHeight="1">
      <c r="A110" s="479"/>
      <c r="B110" s="256"/>
      <c r="C110" s="254" t="s">
        <v>384</v>
      </c>
      <c r="D110" s="485" t="s">
        <v>385</v>
      </c>
      <c r="E110" s="249"/>
      <c r="F110" s="259">
        <v>3765</v>
      </c>
      <c r="G110" s="481"/>
    </row>
    <row r="111" spans="1:7" s="381" customFormat="1" ht="25.5" customHeight="1">
      <c r="A111" s="479"/>
      <c r="B111" s="256"/>
      <c r="C111" s="254" t="s">
        <v>455</v>
      </c>
      <c r="D111" s="485" t="s">
        <v>456</v>
      </c>
      <c r="E111" s="249"/>
      <c r="F111" s="259">
        <v>5969</v>
      </c>
      <c r="G111" s="481"/>
    </row>
    <row r="112" spans="1:7" s="381" customFormat="1" ht="12" customHeight="1">
      <c r="A112" s="479"/>
      <c r="B112" s="256"/>
      <c r="C112" s="254" t="s">
        <v>393</v>
      </c>
      <c r="D112" s="474" t="s">
        <v>394</v>
      </c>
      <c r="E112" s="249"/>
      <c r="F112" s="259">
        <v>1785</v>
      </c>
      <c r="G112" s="481"/>
    </row>
    <row r="113" spans="1:7" s="381" customFormat="1" ht="12" customHeight="1">
      <c r="A113" s="478"/>
      <c r="B113" s="464"/>
      <c r="C113" s="254" t="s">
        <v>372</v>
      </c>
      <c r="D113" s="474" t="s">
        <v>373</v>
      </c>
      <c r="E113" s="249"/>
      <c r="F113" s="259">
        <v>1352</v>
      </c>
      <c r="G113" s="481"/>
    </row>
    <row r="114" spans="1:7" s="381" customFormat="1" ht="22.5">
      <c r="A114" s="479"/>
      <c r="B114" s="256"/>
      <c r="C114" s="254" t="s">
        <v>387</v>
      </c>
      <c r="D114" s="474" t="s">
        <v>388</v>
      </c>
      <c r="E114" s="249"/>
      <c r="F114" s="259">
        <v>1907</v>
      </c>
      <c r="G114" s="481"/>
    </row>
    <row r="115" spans="1:7" s="381" customFormat="1" ht="27.75" customHeight="1">
      <c r="A115" s="479"/>
      <c r="B115" s="256"/>
      <c r="C115" s="254" t="s">
        <v>422</v>
      </c>
      <c r="D115" s="474" t="s">
        <v>423</v>
      </c>
      <c r="E115" s="249"/>
      <c r="F115" s="259">
        <v>8445</v>
      </c>
      <c r="G115" s="481"/>
    </row>
    <row r="116" spans="1:7" s="381" customFormat="1" ht="12.75">
      <c r="A116" s="479"/>
      <c r="B116" s="256"/>
      <c r="C116" s="254" t="s">
        <v>424</v>
      </c>
      <c r="D116" s="474" t="s">
        <v>425</v>
      </c>
      <c r="E116" s="249"/>
      <c r="F116" s="259">
        <v>225</v>
      </c>
      <c r="G116" s="481"/>
    </row>
    <row r="117" spans="1:7" s="381" customFormat="1" ht="26.25" customHeight="1">
      <c r="A117" s="479"/>
      <c r="B117" s="256"/>
      <c r="C117" s="468" t="s">
        <v>389</v>
      </c>
      <c r="D117" s="485" t="s">
        <v>390</v>
      </c>
      <c r="E117" s="249"/>
      <c r="F117" s="259">
        <v>2000</v>
      </c>
      <c r="G117" s="481"/>
    </row>
    <row r="118" spans="1:7" s="381" customFormat="1" ht="23.25" customHeight="1">
      <c r="A118" s="479"/>
      <c r="B118" s="256"/>
      <c r="C118" s="254" t="s">
        <v>391</v>
      </c>
      <c r="D118" s="372" t="s">
        <v>392</v>
      </c>
      <c r="E118" s="249"/>
      <c r="F118" s="259">
        <v>6610</v>
      </c>
      <c r="G118" s="481"/>
    </row>
    <row r="119" spans="1:7" s="381" customFormat="1" ht="23.25" customHeight="1">
      <c r="A119" s="479"/>
      <c r="B119" s="256"/>
      <c r="C119" s="254" t="s">
        <v>97</v>
      </c>
      <c r="D119" s="372" t="s">
        <v>98</v>
      </c>
      <c r="E119" s="249"/>
      <c r="F119" s="259">
        <v>22000</v>
      </c>
      <c r="G119" s="481"/>
    </row>
    <row r="120" spans="1:7" s="381" customFormat="1" ht="21.75" customHeight="1">
      <c r="A120" s="476"/>
      <c r="B120" s="255"/>
      <c r="C120" s="254" t="s">
        <v>426</v>
      </c>
      <c r="D120" s="372" t="s">
        <v>427</v>
      </c>
      <c r="E120" s="249"/>
      <c r="F120" s="259">
        <v>359600</v>
      </c>
      <c r="G120" s="481"/>
    </row>
    <row r="121" spans="1:7" s="381" customFormat="1" ht="32.25" customHeight="1">
      <c r="A121" s="476" t="s">
        <v>188</v>
      </c>
      <c r="B121" s="255" t="s">
        <v>190</v>
      </c>
      <c r="C121" s="254" t="s">
        <v>359</v>
      </c>
      <c r="D121" s="474" t="s">
        <v>360</v>
      </c>
      <c r="E121" s="249"/>
      <c r="F121" s="259"/>
      <c r="G121" s="259">
        <v>7000</v>
      </c>
    </row>
    <row r="122" spans="1:7" s="381" customFormat="1" ht="12.75" hidden="1">
      <c r="A122" s="256" t="s">
        <v>188</v>
      </c>
      <c r="B122" s="467" t="s">
        <v>192</v>
      </c>
      <c r="C122" s="253"/>
      <c r="D122" s="487" t="s">
        <v>193</v>
      </c>
      <c r="E122" s="184">
        <f>SUM(E123:E123)</f>
        <v>0</v>
      </c>
      <c r="F122" s="146">
        <f>SUM(F124:F127)</f>
        <v>0</v>
      </c>
      <c r="G122" s="146">
        <f>SUM(G124:G124)</f>
        <v>0</v>
      </c>
    </row>
    <row r="123" spans="1:7" s="381" customFormat="1" ht="45.75" customHeight="1" hidden="1">
      <c r="A123" s="477"/>
      <c r="B123" s="252"/>
      <c r="C123" s="468" t="s">
        <v>165</v>
      </c>
      <c r="D123" s="465" t="s">
        <v>166</v>
      </c>
      <c r="E123" s="469">
        <v>0</v>
      </c>
      <c r="F123" s="370"/>
      <c r="G123" s="466"/>
    </row>
    <row r="124" spans="1:7" s="381" customFormat="1" ht="12.75" hidden="1">
      <c r="A124" s="479"/>
      <c r="B124" s="256"/>
      <c r="C124" s="254" t="s">
        <v>382</v>
      </c>
      <c r="D124" s="474" t="s">
        <v>383</v>
      </c>
      <c r="E124" s="249"/>
      <c r="F124" s="259">
        <v>0</v>
      </c>
      <c r="G124" s="324"/>
    </row>
    <row r="125" spans="1:7" s="381" customFormat="1" ht="12.75" hidden="1">
      <c r="A125" s="479"/>
      <c r="B125" s="256"/>
      <c r="C125" s="254" t="s">
        <v>369</v>
      </c>
      <c r="D125" s="474" t="s">
        <v>358</v>
      </c>
      <c r="E125" s="249"/>
      <c r="F125" s="259">
        <v>0</v>
      </c>
      <c r="G125" s="324"/>
    </row>
    <row r="126" spans="1:7" s="381" customFormat="1" ht="24" customHeight="1" hidden="1">
      <c r="A126" s="479"/>
      <c r="B126" s="256"/>
      <c r="C126" s="254" t="s">
        <v>389</v>
      </c>
      <c r="D126" s="485" t="s">
        <v>390</v>
      </c>
      <c r="E126" s="249"/>
      <c r="F126" s="259">
        <v>0</v>
      </c>
      <c r="G126" s="324"/>
    </row>
    <row r="127" spans="1:7" s="381" customFormat="1" ht="22.5" hidden="1">
      <c r="A127" s="476"/>
      <c r="B127" s="255"/>
      <c r="C127" s="468" t="s">
        <v>391</v>
      </c>
      <c r="D127" s="486" t="s">
        <v>392</v>
      </c>
      <c r="E127" s="469"/>
      <c r="F127" s="370">
        <v>0</v>
      </c>
      <c r="G127" s="466"/>
    </row>
    <row r="128" spans="1:7" s="381" customFormat="1" ht="15.75" customHeight="1">
      <c r="A128" s="252" t="s">
        <v>197</v>
      </c>
      <c r="B128" s="253"/>
      <c r="C128" s="253"/>
      <c r="D128" s="25" t="s">
        <v>198</v>
      </c>
      <c r="E128" s="184">
        <f>SUM(E129,E132)</f>
        <v>1400716</v>
      </c>
      <c r="F128" s="184">
        <f>SUM(F129,F132)</f>
        <v>1400716</v>
      </c>
      <c r="G128" s="250">
        <f>G132</f>
        <v>0</v>
      </c>
    </row>
    <row r="129" spans="1:7" s="381" customFormat="1" ht="15.75" customHeight="1">
      <c r="A129" s="252"/>
      <c r="B129" s="254" t="s">
        <v>428</v>
      </c>
      <c r="C129" s="253"/>
      <c r="D129" s="80" t="s">
        <v>429</v>
      </c>
      <c r="E129" s="184">
        <f>SUM(E130:E130)</f>
        <v>230000</v>
      </c>
      <c r="F129" s="146">
        <f>SUM(F131:F131)</f>
        <v>230000</v>
      </c>
      <c r="G129" s="146">
        <f>SUM(G131:G131)</f>
        <v>0</v>
      </c>
    </row>
    <row r="130" spans="1:7" s="381" customFormat="1" ht="43.5" customHeight="1">
      <c r="A130" s="256"/>
      <c r="B130" s="467"/>
      <c r="C130" s="468" t="s">
        <v>181</v>
      </c>
      <c r="D130" s="465" t="s">
        <v>293</v>
      </c>
      <c r="E130" s="469">
        <v>230000</v>
      </c>
      <c r="F130" s="370"/>
      <c r="G130" s="466"/>
    </row>
    <row r="131" spans="1:7" s="381" customFormat="1" ht="43.5" customHeight="1">
      <c r="A131" s="256"/>
      <c r="B131" s="468"/>
      <c r="C131" s="253" t="s">
        <v>430</v>
      </c>
      <c r="D131" s="488" t="s">
        <v>431</v>
      </c>
      <c r="E131" s="249"/>
      <c r="F131" s="259">
        <v>230000</v>
      </c>
      <c r="G131" s="324"/>
    </row>
    <row r="132" spans="1:7" s="381" customFormat="1" ht="44.25" customHeight="1">
      <c r="A132" s="256"/>
      <c r="B132" s="254" t="s">
        <v>199</v>
      </c>
      <c r="C132" s="253"/>
      <c r="D132" s="489" t="s">
        <v>200</v>
      </c>
      <c r="E132" s="184">
        <f>SUM(E133:E133)</f>
        <v>1170716</v>
      </c>
      <c r="F132" s="146">
        <f>SUM(F134:F134)</f>
        <v>1170716</v>
      </c>
      <c r="G132" s="146">
        <f>SUM(G134:G134)</f>
        <v>0</v>
      </c>
    </row>
    <row r="133" spans="1:7" s="381" customFormat="1" ht="45" customHeight="1">
      <c r="A133" s="256"/>
      <c r="B133" s="467"/>
      <c r="C133" s="468" t="s">
        <v>165</v>
      </c>
      <c r="D133" s="465" t="s">
        <v>166</v>
      </c>
      <c r="E133" s="469">
        <v>1170716</v>
      </c>
      <c r="F133" s="370"/>
      <c r="G133" s="466"/>
    </row>
    <row r="134" spans="1:7" s="381" customFormat="1" ht="12.75">
      <c r="A134" s="255"/>
      <c r="B134" s="468"/>
      <c r="C134" s="254" t="s">
        <v>432</v>
      </c>
      <c r="D134" s="474" t="s">
        <v>433</v>
      </c>
      <c r="E134" s="249"/>
      <c r="F134" s="259">
        <v>1170716</v>
      </c>
      <c r="G134" s="324"/>
    </row>
    <row r="135" spans="1:7" s="381" customFormat="1" ht="14.25" customHeight="1">
      <c r="A135" s="256">
        <v>852</v>
      </c>
      <c r="B135" s="254"/>
      <c r="C135" s="253"/>
      <c r="D135" s="25" t="s">
        <v>207</v>
      </c>
      <c r="E135" s="184">
        <f>SUM(E136)</f>
        <v>490050</v>
      </c>
      <c r="F135" s="184">
        <f>SUM(F136)</f>
        <v>490050</v>
      </c>
      <c r="G135" s="250">
        <f>SUM(G136)</f>
        <v>1049</v>
      </c>
    </row>
    <row r="136" spans="1:7" s="381" customFormat="1" ht="15" customHeight="1">
      <c r="A136" s="252"/>
      <c r="B136" s="472" t="s">
        <v>201</v>
      </c>
      <c r="C136" s="253"/>
      <c r="D136" s="25" t="s">
        <v>202</v>
      </c>
      <c r="E136" s="184">
        <f>SUM(E137:E155)</f>
        <v>490050</v>
      </c>
      <c r="F136" s="184">
        <f>SUM(F138:F158)</f>
        <v>490050</v>
      </c>
      <c r="G136" s="250">
        <f>SUM(G159)</f>
        <v>1049</v>
      </c>
    </row>
    <row r="137" spans="1:7" s="381" customFormat="1" ht="48" customHeight="1">
      <c r="A137" s="479"/>
      <c r="B137" s="252"/>
      <c r="C137" s="254" t="s">
        <v>165</v>
      </c>
      <c r="D137" s="474" t="s">
        <v>166</v>
      </c>
      <c r="E137" s="249">
        <v>490050</v>
      </c>
      <c r="F137" s="259"/>
      <c r="G137" s="324"/>
    </row>
    <row r="138" spans="1:7" s="381" customFormat="1" ht="11.25" customHeight="1">
      <c r="A138" s="479"/>
      <c r="B138" s="256"/>
      <c r="C138" s="589" t="s">
        <v>434</v>
      </c>
      <c r="D138" s="591" t="s">
        <v>435</v>
      </c>
      <c r="E138" s="580"/>
      <c r="F138" s="582">
        <v>0</v>
      </c>
      <c r="G138" s="584"/>
    </row>
    <row r="139" spans="1:7" s="381" customFormat="1" ht="3" customHeight="1">
      <c r="A139" s="479"/>
      <c r="B139" s="256"/>
      <c r="C139" s="590"/>
      <c r="D139" s="592"/>
      <c r="E139" s="581"/>
      <c r="F139" s="583"/>
      <c r="G139" s="577"/>
    </row>
    <row r="140" spans="1:7" s="381" customFormat="1" ht="13.5" customHeight="1">
      <c r="A140" s="479"/>
      <c r="B140" s="256"/>
      <c r="C140" s="254" t="s">
        <v>376</v>
      </c>
      <c r="D140" s="474" t="s">
        <v>377</v>
      </c>
      <c r="E140" s="183"/>
      <c r="F140" s="258">
        <v>212974</v>
      </c>
      <c r="G140" s="324"/>
    </row>
    <row r="141" spans="1:7" s="381" customFormat="1" ht="12.75">
      <c r="A141" s="479"/>
      <c r="B141" s="256"/>
      <c r="C141" s="254" t="s">
        <v>380</v>
      </c>
      <c r="D141" s="474" t="s">
        <v>381</v>
      </c>
      <c r="E141" s="183"/>
      <c r="F141" s="258">
        <v>12706</v>
      </c>
      <c r="G141" s="324"/>
    </row>
    <row r="142" spans="1:7" s="381" customFormat="1" ht="12.75">
      <c r="A142" s="479"/>
      <c r="B142" s="256"/>
      <c r="C142" s="468" t="s">
        <v>361</v>
      </c>
      <c r="D142" s="465" t="s">
        <v>362</v>
      </c>
      <c r="E142" s="182"/>
      <c r="F142" s="369">
        <v>37184</v>
      </c>
      <c r="G142" s="466"/>
    </row>
    <row r="143" spans="1:7" s="381" customFormat="1" ht="12.75">
      <c r="A143" s="479"/>
      <c r="B143" s="256"/>
      <c r="C143" s="468" t="s">
        <v>363</v>
      </c>
      <c r="D143" s="465" t="s">
        <v>364</v>
      </c>
      <c r="E143" s="182"/>
      <c r="F143" s="369">
        <v>5547</v>
      </c>
      <c r="G143" s="466"/>
    </row>
    <row r="144" spans="1:7" s="381" customFormat="1" ht="12.75">
      <c r="A144" s="479"/>
      <c r="B144" s="256"/>
      <c r="C144" s="468" t="s">
        <v>365</v>
      </c>
      <c r="D144" s="465" t="s">
        <v>436</v>
      </c>
      <c r="E144" s="182"/>
      <c r="F144" s="369">
        <v>11508</v>
      </c>
      <c r="G144" s="466"/>
    </row>
    <row r="145" spans="1:7" s="381" customFormat="1" ht="12.75">
      <c r="A145" s="479"/>
      <c r="B145" s="256"/>
      <c r="C145" s="468" t="s">
        <v>382</v>
      </c>
      <c r="D145" s="465" t="s">
        <v>383</v>
      </c>
      <c r="E145" s="182"/>
      <c r="F145" s="369">
        <v>84644</v>
      </c>
      <c r="G145" s="466"/>
    </row>
    <row r="146" spans="1:7" s="381" customFormat="1" ht="22.5">
      <c r="A146" s="479"/>
      <c r="B146" s="256"/>
      <c r="C146" s="468" t="s">
        <v>231</v>
      </c>
      <c r="D146" s="465" t="s">
        <v>477</v>
      </c>
      <c r="E146" s="182"/>
      <c r="F146" s="369">
        <v>15382</v>
      </c>
      <c r="G146" s="466"/>
    </row>
    <row r="147" spans="1:7" s="381" customFormat="1" ht="12.75">
      <c r="A147" s="479"/>
      <c r="B147" s="256"/>
      <c r="C147" s="468" t="s">
        <v>413</v>
      </c>
      <c r="D147" s="465" t="s">
        <v>414</v>
      </c>
      <c r="E147" s="182"/>
      <c r="F147" s="369">
        <v>20923</v>
      </c>
      <c r="G147" s="466"/>
    </row>
    <row r="148" spans="1:7" s="381" customFormat="1" ht="12.75">
      <c r="A148" s="479"/>
      <c r="B148" s="256"/>
      <c r="C148" s="468" t="s">
        <v>367</v>
      </c>
      <c r="D148" s="465" t="s">
        <v>415</v>
      </c>
      <c r="E148" s="182"/>
      <c r="F148" s="369">
        <v>36460</v>
      </c>
      <c r="G148" s="466"/>
    </row>
    <row r="149" spans="1:7" s="381" customFormat="1" ht="12.75">
      <c r="A149" s="479"/>
      <c r="B149" s="256"/>
      <c r="C149" s="468" t="s">
        <v>416</v>
      </c>
      <c r="D149" s="465" t="s">
        <v>417</v>
      </c>
      <c r="E149" s="182"/>
      <c r="F149" s="369">
        <v>130</v>
      </c>
      <c r="G149" s="466"/>
    </row>
    <row r="150" spans="1:7" s="381" customFormat="1" ht="12.75">
      <c r="A150" s="479"/>
      <c r="B150" s="256"/>
      <c r="C150" s="254" t="s">
        <v>369</v>
      </c>
      <c r="D150" s="474" t="s">
        <v>358</v>
      </c>
      <c r="E150" s="185"/>
      <c r="F150" s="258">
        <v>24390</v>
      </c>
      <c r="G150" s="324"/>
    </row>
    <row r="151" spans="1:7" s="381" customFormat="1" ht="15.75" customHeight="1">
      <c r="A151" s="479"/>
      <c r="B151" s="256"/>
      <c r="C151" s="254" t="s">
        <v>418</v>
      </c>
      <c r="D151" s="474" t="s">
        <v>419</v>
      </c>
      <c r="E151" s="185"/>
      <c r="F151" s="258">
        <v>1279</v>
      </c>
      <c r="G151" s="324"/>
    </row>
    <row r="152" spans="1:7" s="381" customFormat="1" ht="27" customHeight="1">
      <c r="A152" s="479"/>
      <c r="B152" s="256"/>
      <c r="C152" s="254" t="s">
        <v>384</v>
      </c>
      <c r="D152" s="372" t="s">
        <v>385</v>
      </c>
      <c r="E152" s="185"/>
      <c r="F152" s="258">
        <v>2519</v>
      </c>
      <c r="G152" s="324"/>
    </row>
    <row r="153" spans="1:7" s="381" customFormat="1" ht="12.75">
      <c r="A153" s="479"/>
      <c r="B153" s="256"/>
      <c r="C153" s="254" t="s">
        <v>393</v>
      </c>
      <c r="D153" s="474" t="s">
        <v>394</v>
      </c>
      <c r="E153" s="185"/>
      <c r="F153" s="258">
        <v>3006</v>
      </c>
      <c r="G153" s="324"/>
    </row>
    <row r="154" spans="1:7" s="381" customFormat="1" ht="12.75">
      <c r="A154" s="479"/>
      <c r="B154" s="256"/>
      <c r="C154" s="254" t="s">
        <v>372</v>
      </c>
      <c r="D154" s="474" t="s">
        <v>373</v>
      </c>
      <c r="E154" s="185"/>
      <c r="F154" s="258">
        <v>450</v>
      </c>
      <c r="G154" s="324"/>
    </row>
    <row r="155" spans="1:7" s="381" customFormat="1" ht="22.5">
      <c r="A155" s="479"/>
      <c r="B155" s="256"/>
      <c r="C155" s="472" t="s">
        <v>387</v>
      </c>
      <c r="D155" s="490" t="s">
        <v>388</v>
      </c>
      <c r="E155" s="470"/>
      <c r="F155" s="371">
        <v>7708</v>
      </c>
      <c r="G155" s="483"/>
    </row>
    <row r="156" spans="1:7" s="381" customFormat="1" ht="22.5">
      <c r="A156" s="479"/>
      <c r="B156" s="256"/>
      <c r="C156" s="472" t="s">
        <v>457</v>
      </c>
      <c r="D156" s="372" t="s">
        <v>458</v>
      </c>
      <c r="E156" s="470"/>
      <c r="F156" s="371">
        <v>240</v>
      </c>
      <c r="G156" s="483"/>
    </row>
    <row r="157" spans="1:7" s="381" customFormat="1" ht="27" customHeight="1">
      <c r="A157" s="479"/>
      <c r="B157" s="256"/>
      <c r="C157" s="472" t="s">
        <v>389</v>
      </c>
      <c r="D157" s="491" t="s">
        <v>390</v>
      </c>
      <c r="E157" s="470"/>
      <c r="F157" s="371">
        <v>1000</v>
      </c>
      <c r="G157" s="483"/>
    </row>
    <row r="158" spans="1:7" s="381" customFormat="1" ht="22.5">
      <c r="A158" s="479"/>
      <c r="B158" s="256"/>
      <c r="C158" s="472" t="s">
        <v>391</v>
      </c>
      <c r="D158" s="491" t="s">
        <v>392</v>
      </c>
      <c r="E158" s="470"/>
      <c r="F158" s="371">
        <v>12000</v>
      </c>
      <c r="G158" s="483"/>
    </row>
    <row r="159" spans="1:7" s="381" customFormat="1" ht="33.75">
      <c r="A159" s="476"/>
      <c r="B159" s="255"/>
      <c r="C159" s="254" t="s">
        <v>359</v>
      </c>
      <c r="D159" s="474" t="s">
        <v>360</v>
      </c>
      <c r="E159" s="470"/>
      <c r="F159" s="371"/>
      <c r="G159" s="371">
        <v>1049</v>
      </c>
    </row>
    <row r="160" spans="1:7" s="381" customFormat="1" ht="12.75">
      <c r="A160" s="585" t="s">
        <v>208</v>
      </c>
      <c r="B160" s="586"/>
      <c r="C160" s="587"/>
      <c r="D160" s="587"/>
      <c r="E160" s="146">
        <f>SUM(E135,E128,E84,E60,E33,E17,E11)</f>
        <v>5919698</v>
      </c>
      <c r="F160" s="146">
        <f>SUM(F135,F128,F84,F60,F33,F17,F11)</f>
        <v>5919698</v>
      </c>
      <c r="G160" s="146">
        <f>G11+G17+G33+G60+G84+G128+G135</f>
        <v>792049</v>
      </c>
    </row>
    <row r="161" spans="6:7" ht="12.75">
      <c r="F161" s="45"/>
      <c r="G161" s="27"/>
    </row>
    <row r="162" spans="6:7" ht="12.75">
      <c r="F162" s="45"/>
      <c r="G162" s="27"/>
    </row>
    <row r="163" spans="6:7" ht="12.75">
      <c r="F163" s="45"/>
      <c r="G163" s="27"/>
    </row>
    <row r="164" spans="6:7" ht="12.75">
      <c r="F164" s="45"/>
      <c r="G164" s="27"/>
    </row>
    <row r="165" spans="6:7" ht="12.75">
      <c r="F165" s="45"/>
      <c r="G165" s="27"/>
    </row>
    <row r="166" spans="6:7" ht="12.75">
      <c r="F166" s="45"/>
      <c r="G166" s="27"/>
    </row>
    <row r="167" spans="6:7" ht="12.75">
      <c r="F167" s="45"/>
      <c r="G167" s="27"/>
    </row>
    <row r="168" spans="6:7" ht="12.75">
      <c r="F168" s="45"/>
      <c r="G168" s="27"/>
    </row>
    <row r="169" spans="6:7" ht="12.75">
      <c r="F169" s="45"/>
      <c r="G169" s="27"/>
    </row>
    <row r="170" spans="6:7" ht="12.75">
      <c r="F170" s="45"/>
      <c r="G170" s="27"/>
    </row>
    <row r="171" spans="6:7" ht="12.75">
      <c r="F171" s="45"/>
      <c r="G171" s="27"/>
    </row>
    <row r="172" spans="6:7" ht="12.75">
      <c r="F172" s="45"/>
      <c r="G172" s="27"/>
    </row>
    <row r="173" spans="6:7" ht="12.75">
      <c r="F173" s="45"/>
      <c r="G173" s="27"/>
    </row>
    <row r="174" spans="6:7" ht="12.75">
      <c r="F174" s="45"/>
      <c r="G174" s="27"/>
    </row>
    <row r="175" spans="6:7" ht="12.75">
      <c r="F175" s="45"/>
      <c r="G175" s="27"/>
    </row>
    <row r="176" spans="6:7" ht="12.75">
      <c r="F176" s="45"/>
      <c r="G176" s="27"/>
    </row>
    <row r="177" spans="6:7" ht="12.75">
      <c r="F177" s="45"/>
      <c r="G177" s="27"/>
    </row>
    <row r="178" spans="6:7" ht="12.75">
      <c r="F178" s="45"/>
      <c r="G178" s="27"/>
    </row>
    <row r="179" spans="6:7" ht="12.75">
      <c r="F179" s="45"/>
      <c r="G179" s="27"/>
    </row>
    <row r="180" spans="6:7" ht="12.75">
      <c r="F180" s="45"/>
      <c r="G180" s="27"/>
    </row>
    <row r="181" spans="6:7" ht="12.75">
      <c r="F181" s="45"/>
      <c r="G181" s="27"/>
    </row>
    <row r="182" spans="6:7" ht="12.75">
      <c r="F182" s="45"/>
      <c r="G182" s="27"/>
    </row>
    <row r="183" spans="6:7" ht="12.75">
      <c r="F183" s="45"/>
      <c r="G183" s="27"/>
    </row>
    <row r="184" spans="6:7" ht="12.75">
      <c r="F184" s="45"/>
      <c r="G184" s="27"/>
    </row>
    <row r="185" spans="6:7" ht="12.75">
      <c r="F185" s="45"/>
      <c r="G185" s="27"/>
    </row>
    <row r="186" spans="6:7" ht="12.75">
      <c r="F186" s="45"/>
      <c r="G186" s="27"/>
    </row>
    <row r="187" spans="6:7" ht="12.75">
      <c r="F187" s="45"/>
      <c r="G187" s="27"/>
    </row>
    <row r="188" spans="6:7" ht="12.75">
      <c r="F188" s="45"/>
      <c r="G188" s="27"/>
    </row>
    <row r="189" spans="6:7" ht="12.75">
      <c r="F189" s="45"/>
      <c r="G189" s="27"/>
    </row>
    <row r="190" spans="6:7" ht="12.75">
      <c r="F190" s="45"/>
      <c r="G190" s="27"/>
    </row>
    <row r="191" spans="6:7" ht="12.75">
      <c r="F191" s="45"/>
      <c r="G191" s="27"/>
    </row>
    <row r="192" spans="6:7" ht="12.75">
      <c r="F192" s="45"/>
      <c r="G192" s="27"/>
    </row>
    <row r="193" spans="6:7" ht="12.75">
      <c r="F193" s="45"/>
      <c r="G193" s="27"/>
    </row>
    <row r="194" spans="6:7" ht="12.75">
      <c r="F194" s="45"/>
      <c r="G194" s="27"/>
    </row>
    <row r="195" spans="6:7" ht="12.75">
      <c r="F195" s="45"/>
      <c r="G195" s="27"/>
    </row>
    <row r="196" spans="6:7" ht="12.75">
      <c r="F196" s="45"/>
      <c r="G196" s="27"/>
    </row>
    <row r="197" spans="6:7" ht="12.75">
      <c r="F197" s="45"/>
      <c r="G197" s="27"/>
    </row>
    <row r="198" spans="6:7" ht="12.75">
      <c r="F198" s="45"/>
      <c r="G198" s="27"/>
    </row>
    <row r="199" spans="6:7" ht="12.75">
      <c r="F199" s="45"/>
      <c r="G199" s="27"/>
    </row>
    <row r="200" spans="6:7" ht="12.75">
      <c r="F200" s="45"/>
      <c r="G200" s="27"/>
    </row>
    <row r="201" spans="6:7" ht="12.75">
      <c r="F201" s="45"/>
      <c r="G201" s="27"/>
    </row>
    <row r="202" spans="6:7" ht="12.75">
      <c r="F202" s="45"/>
      <c r="G202" s="27"/>
    </row>
    <row r="203" spans="6:7" ht="12.75">
      <c r="F203" s="45"/>
      <c r="G203" s="27"/>
    </row>
    <row r="204" spans="6:7" ht="12.75">
      <c r="F204" s="45"/>
      <c r="G204" s="27"/>
    </row>
    <row r="205" spans="6:7" ht="12.75">
      <c r="F205" s="45"/>
      <c r="G205" s="27"/>
    </row>
    <row r="206" spans="6:7" ht="12.75">
      <c r="F206" s="45"/>
      <c r="G206" s="27"/>
    </row>
    <row r="207" spans="6:7" ht="12.75">
      <c r="F207" s="45"/>
      <c r="G207" s="27"/>
    </row>
    <row r="208" spans="6:7" ht="12.75">
      <c r="F208" s="45"/>
      <c r="G208" s="27"/>
    </row>
    <row r="209" spans="6:7" ht="12.75">
      <c r="F209" s="45"/>
      <c r="G209" s="27"/>
    </row>
    <row r="210" spans="6:7" ht="12.75">
      <c r="F210" s="45"/>
      <c r="G210" s="27"/>
    </row>
    <row r="211" spans="6:7" ht="12.75">
      <c r="F211" s="45"/>
      <c r="G211" s="27"/>
    </row>
    <row r="212" spans="6:7" ht="12.75">
      <c r="F212" s="45"/>
      <c r="G212" s="27"/>
    </row>
    <row r="213" spans="6:7" ht="12.75">
      <c r="F213" s="45"/>
      <c r="G213" s="27"/>
    </row>
    <row r="214" spans="6:7" ht="12.75">
      <c r="F214" s="45"/>
      <c r="G214" s="27"/>
    </row>
    <row r="215" spans="6:7" ht="12.75">
      <c r="F215" s="45"/>
      <c r="G215" s="27"/>
    </row>
    <row r="216" spans="6:7" ht="12.75">
      <c r="F216" s="45"/>
      <c r="G216" s="27"/>
    </row>
    <row r="217" spans="6:7" ht="12.75">
      <c r="F217" s="45"/>
      <c r="G217" s="27"/>
    </row>
    <row r="218" spans="6:7" ht="12.75">
      <c r="F218" s="45"/>
      <c r="G218" s="27"/>
    </row>
    <row r="219" spans="6:7" ht="12.75">
      <c r="F219" s="45"/>
      <c r="G219" s="27"/>
    </row>
    <row r="220" spans="6:7" ht="12.75">
      <c r="F220" s="45"/>
      <c r="G220" s="27"/>
    </row>
    <row r="221" spans="6:7" ht="12.75">
      <c r="F221" s="45"/>
      <c r="G221" s="27"/>
    </row>
    <row r="222" spans="6:7" ht="12.75">
      <c r="F222" s="45"/>
      <c r="G222" s="27"/>
    </row>
    <row r="223" spans="6:7" ht="12.75">
      <c r="F223" s="45"/>
      <c r="G223" s="27"/>
    </row>
    <row r="224" spans="6:7" ht="12.75">
      <c r="F224" s="45"/>
      <c r="G224" s="27"/>
    </row>
    <row r="225" spans="6:7" ht="12.75">
      <c r="F225" s="45"/>
      <c r="G225" s="27"/>
    </row>
    <row r="226" spans="6:7" ht="12.75">
      <c r="F226" s="45"/>
      <c r="G226" s="27"/>
    </row>
    <row r="227" spans="6:7" ht="12.75">
      <c r="F227" s="45"/>
      <c r="G227" s="27"/>
    </row>
    <row r="228" spans="6:7" ht="12.75">
      <c r="F228" s="45"/>
      <c r="G228" s="27"/>
    </row>
    <row r="229" spans="6:7" ht="12.75">
      <c r="F229" s="45"/>
      <c r="G229" s="27"/>
    </row>
    <row r="230" spans="6:7" ht="12.75">
      <c r="F230" s="45"/>
      <c r="G230" s="27"/>
    </row>
    <row r="231" spans="6:7" ht="12.75">
      <c r="F231" s="45"/>
      <c r="G231" s="27"/>
    </row>
    <row r="232" spans="6:7" ht="12.75">
      <c r="F232" s="45"/>
      <c r="G232" s="27"/>
    </row>
    <row r="233" spans="6:7" ht="12.75">
      <c r="F233" s="45"/>
      <c r="G233" s="27"/>
    </row>
    <row r="234" spans="6:7" ht="12.75">
      <c r="F234" s="45"/>
      <c r="G234" s="27"/>
    </row>
    <row r="235" spans="6:7" ht="12.75">
      <c r="F235" s="45"/>
      <c r="G235" s="27"/>
    </row>
    <row r="236" spans="6:7" ht="12.75">
      <c r="F236" s="45"/>
      <c r="G236" s="27"/>
    </row>
    <row r="237" spans="6:7" ht="12.75">
      <c r="F237" s="45"/>
      <c r="G237" s="27"/>
    </row>
    <row r="238" spans="6:7" ht="12.75">
      <c r="F238" s="45"/>
      <c r="G238" s="27"/>
    </row>
    <row r="239" spans="6:7" ht="12.75">
      <c r="F239" s="45"/>
      <c r="G239" s="27"/>
    </row>
    <row r="240" spans="6:7" ht="12.75">
      <c r="F240" s="45"/>
      <c r="G240" s="27"/>
    </row>
    <row r="241" spans="6:7" ht="12.75">
      <c r="F241" s="45"/>
      <c r="G241" s="27"/>
    </row>
    <row r="242" spans="6:7" ht="12.75">
      <c r="F242" s="45"/>
      <c r="G242" s="27"/>
    </row>
    <row r="243" spans="6:7" ht="12.75">
      <c r="F243" s="45"/>
      <c r="G243" s="27"/>
    </row>
    <row r="244" spans="6:7" ht="12.75">
      <c r="F244" s="45"/>
      <c r="G244" s="27"/>
    </row>
    <row r="245" spans="6:7" ht="12.75">
      <c r="F245" s="45"/>
      <c r="G245" s="27"/>
    </row>
    <row r="246" spans="6:7" ht="12.75">
      <c r="F246" s="45"/>
      <c r="G246" s="27"/>
    </row>
    <row r="247" spans="6:7" ht="12.75">
      <c r="F247" s="45"/>
      <c r="G247" s="27"/>
    </row>
    <row r="248" spans="6:7" ht="12.75">
      <c r="F248" s="45"/>
      <c r="G248" s="27"/>
    </row>
    <row r="249" spans="6:7" ht="12.75">
      <c r="F249" s="45"/>
      <c r="G249" s="27"/>
    </row>
    <row r="250" spans="6:7" ht="12.75">
      <c r="F250" s="45"/>
      <c r="G250" s="27"/>
    </row>
    <row r="251" spans="6:7" ht="12.75">
      <c r="F251" s="45"/>
      <c r="G251" s="27"/>
    </row>
    <row r="252" spans="6:7" ht="12.75">
      <c r="F252" s="45"/>
      <c r="G252" s="27"/>
    </row>
    <row r="253" spans="6:7" ht="12.75">
      <c r="F253" s="45"/>
      <c r="G253" s="27"/>
    </row>
    <row r="254" spans="6:7" ht="12.75">
      <c r="F254" s="45"/>
      <c r="G254" s="27"/>
    </row>
    <row r="255" spans="6:7" ht="12.75">
      <c r="F255" s="45"/>
      <c r="G255" s="27"/>
    </row>
    <row r="256" spans="6:7" ht="12.75">
      <c r="F256" s="45"/>
      <c r="G256" s="27"/>
    </row>
    <row r="257" spans="6:7" ht="12.75">
      <c r="F257" s="45"/>
      <c r="G257" s="27"/>
    </row>
    <row r="258" spans="6:7" ht="12.75">
      <c r="F258" s="45"/>
      <c r="G258" s="27"/>
    </row>
    <row r="259" spans="6:7" ht="12.75">
      <c r="F259" s="45"/>
      <c r="G259" s="27"/>
    </row>
    <row r="260" spans="6:7" ht="12.75">
      <c r="F260" s="45"/>
      <c r="G260" s="27"/>
    </row>
    <row r="261" spans="6:7" ht="12.75">
      <c r="F261" s="45"/>
      <c r="G261" s="27"/>
    </row>
    <row r="262" spans="6:7" ht="12.75">
      <c r="F262" s="45"/>
      <c r="G262" s="27"/>
    </row>
    <row r="263" spans="6:7" ht="12.75">
      <c r="F263" s="45"/>
      <c r="G263" s="27"/>
    </row>
    <row r="264" spans="6:7" ht="12.75">
      <c r="F264" s="45"/>
      <c r="G264" s="27"/>
    </row>
    <row r="265" spans="6:7" ht="12.75">
      <c r="F265" s="45"/>
      <c r="G265" s="27"/>
    </row>
    <row r="266" spans="6:7" ht="12.75">
      <c r="F266" s="45"/>
      <c r="G266" s="27"/>
    </row>
    <row r="267" spans="6:7" ht="12.75">
      <c r="F267" s="45"/>
      <c r="G267" s="27"/>
    </row>
    <row r="268" spans="6:7" ht="12.75">
      <c r="F268" s="45"/>
      <c r="G268" s="27"/>
    </row>
    <row r="269" spans="6:7" ht="12.75">
      <c r="F269" s="45"/>
      <c r="G269" s="27"/>
    </row>
    <row r="270" spans="6:7" ht="12.75">
      <c r="F270" s="45"/>
      <c r="G270" s="27"/>
    </row>
    <row r="271" spans="6:7" ht="12.75">
      <c r="F271" s="45"/>
      <c r="G271" s="27"/>
    </row>
    <row r="272" spans="6:7" ht="12.75">
      <c r="F272" s="45"/>
      <c r="G272" s="27"/>
    </row>
    <row r="273" spans="6:7" ht="12.75">
      <c r="F273" s="45"/>
      <c r="G273" s="27"/>
    </row>
    <row r="274" spans="6:7" ht="12.75">
      <c r="F274" s="45"/>
      <c r="G274" s="27"/>
    </row>
    <row r="275" spans="6:7" ht="12.75">
      <c r="F275" s="45"/>
      <c r="G275" s="27"/>
    </row>
    <row r="276" spans="6:7" ht="12.75">
      <c r="F276" s="45"/>
      <c r="G276" s="27"/>
    </row>
    <row r="277" spans="6:7" ht="12.75">
      <c r="F277" s="45"/>
      <c r="G277" s="27"/>
    </row>
    <row r="278" spans="6:7" ht="12.75">
      <c r="F278" s="45"/>
      <c r="G278" s="27"/>
    </row>
    <row r="279" spans="6:7" ht="12.75">
      <c r="F279" s="45"/>
      <c r="G279" s="27"/>
    </row>
    <row r="280" spans="6:7" ht="12.75">
      <c r="F280" s="45"/>
      <c r="G280" s="27"/>
    </row>
    <row r="281" spans="6:7" ht="12.75">
      <c r="F281" s="45"/>
      <c r="G281" s="27"/>
    </row>
    <row r="282" spans="6:7" ht="12.75">
      <c r="F282" s="45"/>
      <c r="G282" s="27"/>
    </row>
    <row r="283" spans="6:7" ht="12.75">
      <c r="F283" s="45"/>
      <c r="G283" s="27"/>
    </row>
    <row r="284" spans="6:7" ht="12.75">
      <c r="F284" s="45"/>
      <c r="G284" s="27"/>
    </row>
    <row r="285" spans="6:7" ht="12.75">
      <c r="F285" s="45"/>
      <c r="G285" s="27"/>
    </row>
    <row r="286" spans="6:7" ht="12.75">
      <c r="F286" s="45"/>
      <c r="G286" s="27"/>
    </row>
    <row r="287" spans="6:7" ht="12.75">
      <c r="F287" s="45"/>
      <c r="G287" s="27"/>
    </row>
    <row r="288" spans="6:7" ht="12.75">
      <c r="F288" s="45"/>
      <c r="G288" s="27"/>
    </row>
    <row r="289" spans="6:7" ht="12.75">
      <c r="F289" s="45"/>
      <c r="G289" s="27"/>
    </row>
    <row r="290" spans="6:7" ht="12.75">
      <c r="F290" s="45"/>
      <c r="G290" s="27"/>
    </row>
    <row r="291" spans="6:7" ht="12.75">
      <c r="F291" s="45"/>
      <c r="G291" s="27"/>
    </row>
    <row r="292" spans="6:7" ht="12.75">
      <c r="F292" s="45"/>
      <c r="G292" s="27"/>
    </row>
    <row r="293" spans="6:7" ht="12.75">
      <c r="F293" s="45"/>
      <c r="G293" s="27"/>
    </row>
    <row r="294" spans="6:7" ht="12.75">
      <c r="F294" s="45"/>
      <c r="G294" s="27"/>
    </row>
    <row r="295" spans="6:7" ht="12.75">
      <c r="F295" s="45"/>
      <c r="G295" s="27"/>
    </row>
    <row r="296" spans="6:7" ht="12.75">
      <c r="F296" s="45"/>
      <c r="G296" s="27"/>
    </row>
    <row r="297" spans="6:7" ht="12.75">
      <c r="F297" s="45"/>
      <c r="G297" s="27"/>
    </row>
    <row r="298" spans="6:7" ht="12.75">
      <c r="F298" s="45"/>
      <c r="G298" s="27"/>
    </row>
    <row r="299" spans="6:7" ht="12.75">
      <c r="F299" s="45"/>
      <c r="G299" s="27"/>
    </row>
    <row r="300" spans="6:7" ht="12.75">
      <c r="F300" s="45"/>
      <c r="G300" s="27"/>
    </row>
    <row r="301" spans="6:7" ht="12.75">
      <c r="F301" s="45"/>
      <c r="G301" s="27"/>
    </row>
    <row r="302" spans="6:7" ht="12.75">
      <c r="F302" s="45"/>
      <c r="G302" s="27"/>
    </row>
    <row r="303" spans="6:7" ht="12.75">
      <c r="F303" s="45"/>
      <c r="G303" s="27"/>
    </row>
    <row r="304" spans="6:7" ht="12.75">
      <c r="F304" s="45"/>
      <c r="G304" s="27"/>
    </row>
    <row r="305" spans="6:7" ht="12.75">
      <c r="F305" s="45"/>
      <c r="G305" s="27"/>
    </row>
    <row r="306" spans="6:7" ht="12.75">
      <c r="F306" s="45"/>
      <c r="G306" s="27"/>
    </row>
    <row r="307" spans="6:7" ht="12.75">
      <c r="F307" s="45"/>
      <c r="G307" s="27"/>
    </row>
    <row r="308" spans="6:7" ht="12.75">
      <c r="F308" s="45"/>
      <c r="G308" s="27"/>
    </row>
    <row r="309" spans="6:7" ht="12.75">
      <c r="F309" s="45"/>
      <c r="G309" s="27"/>
    </row>
    <row r="310" spans="6:7" ht="12.75">
      <c r="F310" s="45"/>
      <c r="G310" s="27"/>
    </row>
    <row r="311" spans="6:7" ht="12.75">
      <c r="F311" s="45"/>
      <c r="G311" s="27"/>
    </row>
    <row r="312" spans="6:7" ht="12.75">
      <c r="F312" s="45"/>
      <c r="G312" s="27"/>
    </row>
    <row r="313" spans="6:7" ht="12.75">
      <c r="F313" s="45"/>
      <c r="G313" s="27"/>
    </row>
    <row r="314" spans="6:7" ht="12.75">
      <c r="F314" s="45"/>
      <c r="G314" s="27"/>
    </row>
    <row r="315" spans="6:7" ht="12.75">
      <c r="F315" s="45"/>
      <c r="G315" s="27"/>
    </row>
    <row r="316" spans="6:7" ht="12.75">
      <c r="F316" s="45"/>
      <c r="G316" s="27"/>
    </row>
    <row r="317" spans="6:7" ht="12.75">
      <c r="F317" s="45"/>
      <c r="G317" s="27"/>
    </row>
    <row r="318" spans="6:7" ht="12.75">
      <c r="F318" s="45"/>
      <c r="G318" s="27"/>
    </row>
    <row r="319" spans="6:7" ht="12.75">
      <c r="F319" s="45"/>
      <c r="G319" s="27"/>
    </row>
    <row r="320" spans="6:7" ht="12.75">
      <c r="F320" s="45"/>
      <c r="G320" s="27"/>
    </row>
    <row r="321" spans="6:7" ht="12.75">
      <c r="F321" s="45"/>
      <c r="G321" s="27"/>
    </row>
    <row r="322" spans="6:7" ht="12.75">
      <c r="F322" s="45"/>
      <c r="G322" s="27"/>
    </row>
    <row r="323" spans="6:7" ht="12.75">
      <c r="F323" s="45"/>
      <c r="G323" s="27"/>
    </row>
    <row r="324" spans="6:7" ht="12.75">
      <c r="F324" s="45"/>
      <c r="G324" s="27"/>
    </row>
    <row r="325" spans="6:7" ht="12.75">
      <c r="F325" s="45"/>
      <c r="G325" s="27"/>
    </row>
    <row r="326" spans="6:7" ht="12.75">
      <c r="F326" s="45"/>
      <c r="G326" s="27"/>
    </row>
    <row r="327" spans="6:7" ht="12.75">
      <c r="F327" s="45"/>
      <c r="G327" s="27"/>
    </row>
    <row r="328" spans="6:7" ht="12.75">
      <c r="F328" s="45"/>
      <c r="G328" s="27"/>
    </row>
    <row r="329" spans="6:7" ht="12.75">
      <c r="F329" s="45"/>
      <c r="G329" s="27"/>
    </row>
    <row r="330" spans="6:7" ht="12.75">
      <c r="F330" s="45"/>
      <c r="G330" s="27"/>
    </row>
    <row r="331" spans="6:7" ht="12.75">
      <c r="F331" s="45"/>
      <c r="G331" s="27"/>
    </row>
    <row r="332" spans="6:7" ht="12.75">
      <c r="F332" s="45"/>
      <c r="G332" s="27"/>
    </row>
    <row r="333" spans="6:7" ht="12.75">
      <c r="F333" s="45"/>
      <c r="G333" s="27"/>
    </row>
    <row r="334" spans="6:7" ht="12.75">
      <c r="F334" s="45"/>
      <c r="G334" s="27"/>
    </row>
    <row r="335" spans="6:7" ht="12.75">
      <c r="F335" s="45"/>
      <c r="G335" s="27"/>
    </row>
    <row r="336" spans="6:7" ht="12.75">
      <c r="F336" s="45"/>
      <c r="G336" s="27"/>
    </row>
    <row r="337" spans="6:7" ht="12.75">
      <c r="F337" s="45"/>
      <c r="G337" s="27"/>
    </row>
    <row r="338" spans="6:7" ht="12.75">
      <c r="F338" s="45"/>
      <c r="G338" s="27"/>
    </row>
    <row r="339" spans="6:7" ht="12.75">
      <c r="F339" s="45"/>
      <c r="G339" s="27"/>
    </row>
    <row r="340" spans="6:7" ht="12.75">
      <c r="F340" s="45"/>
      <c r="G340" s="27"/>
    </row>
    <row r="341" spans="6:7" ht="12.75">
      <c r="F341" s="45"/>
      <c r="G341" s="27"/>
    </row>
    <row r="342" spans="6:7" ht="12.75">
      <c r="F342" s="45"/>
      <c r="G342" s="27"/>
    </row>
    <row r="343" spans="6:7" ht="12.75">
      <c r="F343" s="45"/>
      <c r="G343" s="27"/>
    </row>
    <row r="344" spans="6:7" ht="12.75">
      <c r="F344" s="45"/>
      <c r="G344" s="27"/>
    </row>
    <row r="345" spans="6:7" ht="12.75">
      <c r="F345" s="45"/>
      <c r="G345" s="27"/>
    </row>
    <row r="346" spans="6:7" ht="12.75">
      <c r="F346" s="45"/>
      <c r="G346" s="27"/>
    </row>
    <row r="347" spans="6:7" ht="12.75">
      <c r="F347" s="45"/>
      <c r="G347" s="27"/>
    </row>
    <row r="348" spans="6:7" ht="12.75">
      <c r="F348" s="45"/>
      <c r="G348" s="27"/>
    </row>
    <row r="349" spans="6:7" ht="12.75">
      <c r="F349" s="45"/>
      <c r="G349" s="27"/>
    </row>
    <row r="350" spans="6:7" ht="12.75">
      <c r="F350" s="45"/>
      <c r="G350" s="27"/>
    </row>
    <row r="351" spans="6:7" ht="12.75">
      <c r="F351" s="45"/>
      <c r="G351" s="27"/>
    </row>
    <row r="352" spans="6:7" ht="12.75">
      <c r="F352" s="45"/>
      <c r="G352" s="27"/>
    </row>
    <row r="353" spans="6:7" ht="12.75">
      <c r="F353" s="45"/>
      <c r="G353" s="27"/>
    </row>
    <row r="354" spans="6:7" ht="12.75">
      <c r="F354" s="45"/>
      <c r="G354" s="27"/>
    </row>
    <row r="355" spans="6:7" ht="12.75">
      <c r="F355" s="45"/>
      <c r="G355" s="27"/>
    </row>
    <row r="356" spans="6:7" ht="12.75">
      <c r="F356" s="45"/>
      <c r="G356" s="27"/>
    </row>
    <row r="357" spans="6:7" ht="12.75">
      <c r="F357" s="45"/>
      <c r="G357" s="27"/>
    </row>
    <row r="358" spans="6:7" ht="12.75">
      <c r="F358" s="45"/>
      <c r="G358" s="27"/>
    </row>
    <row r="359" spans="6:7" ht="12.75">
      <c r="F359" s="45"/>
      <c r="G359" s="27"/>
    </row>
    <row r="360" spans="6:7" ht="12.75">
      <c r="F360" s="45"/>
      <c r="G360" s="27"/>
    </row>
    <row r="361" spans="6:7" ht="12.75">
      <c r="F361" s="45"/>
      <c r="G361" s="27"/>
    </row>
    <row r="362" spans="6:7" ht="12.75">
      <c r="F362" s="45"/>
      <c r="G362" s="27"/>
    </row>
    <row r="363" spans="6:7" ht="12.75">
      <c r="F363" s="45"/>
      <c r="G363" s="27"/>
    </row>
    <row r="364" spans="6:7" ht="12.75">
      <c r="F364" s="45"/>
      <c r="G364" s="27"/>
    </row>
    <row r="365" spans="6:7" ht="12.75">
      <c r="F365" s="45"/>
      <c r="G365" s="27"/>
    </row>
    <row r="366" spans="6:7" ht="12.75">
      <c r="F366" s="45"/>
      <c r="G366" s="27"/>
    </row>
    <row r="367" spans="6:7" ht="12.75">
      <c r="F367" s="45"/>
      <c r="G367" s="27"/>
    </row>
    <row r="368" spans="6:7" ht="12.75">
      <c r="F368" s="45"/>
      <c r="G368" s="27"/>
    </row>
    <row r="369" spans="6:7" ht="12.75">
      <c r="F369" s="45"/>
      <c r="G369" s="27"/>
    </row>
    <row r="370" spans="6:7" ht="12.75">
      <c r="F370" s="45"/>
      <c r="G370" s="27"/>
    </row>
    <row r="371" spans="6:7" ht="12.75">
      <c r="F371" s="45"/>
      <c r="G371" s="27"/>
    </row>
    <row r="372" spans="6:7" ht="12.75">
      <c r="F372" s="45"/>
      <c r="G372" s="27"/>
    </row>
    <row r="373" spans="6:7" ht="12.75">
      <c r="F373" s="45"/>
      <c r="G373" s="27"/>
    </row>
    <row r="374" spans="6:7" ht="12.75">
      <c r="F374" s="45"/>
      <c r="G374" s="27"/>
    </row>
    <row r="375" spans="6:7" ht="12.75">
      <c r="F375" s="45"/>
      <c r="G375" s="27"/>
    </row>
    <row r="376" spans="6:7" ht="12.75">
      <c r="F376" s="45"/>
      <c r="G376" s="27"/>
    </row>
    <row r="377" spans="6:7" ht="12.75">
      <c r="F377" s="45"/>
      <c r="G377" s="27"/>
    </row>
    <row r="378" spans="6:7" ht="12.75">
      <c r="F378" s="45"/>
      <c r="G378" s="27"/>
    </row>
    <row r="379" spans="6:7" ht="12.75">
      <c r="F379" s="45"/>
      <c r="G379" s="27"/>
    </row>
    <row r="380" spans="6:7" ht="12.75">
      <c r="F380" s="45"/>
      <c r="G380" s="27"/>
    </row>
    <row r="381" spans="6:7" ht="12.75">
      <c r="F381" s="45"/>
      <c r="G381" s="27"/>
    </row>
    <row r="382" spans="6:7" ht="12.75">
      <c r="F382" s="45"/>
      <c r="G382" s="27"/>
    </row>
    <row r="383" spans="6:7" ht="12.75">
      <c r="F383" s="45"/>
      <c r="G383" s="27"/>
    </row>
    <row r="384" spans="6:7" ht="12.75">
      <c r="F384" s="45"/>
      <c r="G384" s="27"/>
    </row>
    <row r="385" spans="6:7" ht="12.75">
      <c r="F385" s="45"/>
      <c r="G385" s="27"/>
    </row>
    <row r="386" spans="6:7" ht="12.75">
      <c r="F386" s="45"/>
      <c r="G386" s="27"/>
    </row>
    <row r="387" spans="6:7" ht="12.75">
      <c r="F387" s="45"/>
      <c r="G387" s="27"/>
    </row>
    <row r="388" spans="6:7" ht="12.75">
      <c r="F388" s="45"/>
      <c r="G388" s="27"/>
    </row>
    <row r="389" spans="6:7" ht="12.75">
      <c r="F389" s="45"/>
      <c r="G389" s="27"/>
    </row>
    <row r="390" spans="6:7" ht="12.75">
      <c r="F390" s="45"/>
      <c r="G390" s="27"/>
    </row>
    <row r="391" spans="6:7" ht="12.75">
      <c r="F391" s="45"/>
      <c r="G391" s="27"/>
    </row>
    <row r="392" spans="6:7" ht="12.75">
      <c r="F392" s="45"/>
      <c r="G392" s="27"/>
    </row>
    <row r="393" spans="6:7" ht="12.75">
      <c r="F393" s="45"/>
      <c r="G393" s="27"/>
    </row>
    <row r="394" spans="6:7" ht="12.75">
      <c r="F394" s="45"/>
      <c r="G394" s="27"/>
    </row>
    <row r="395" spans="6:7" ht="12.75">
      <c r="F395" s="45"/>
      <c r="G395" s="27"/>
    </row>
    <row r="396" spans="6:7" ht="12.75">
      <c r="F396" s="45"/>
      <c r="G396" s="27"/>
    </row>
    <row r="397" spans="6:7" ht="12.75">
      <c r="F397" s="45"/>
      <c r="G397" s="27"/>
    </row>
    <row r="398" spans="6:7" ht="12.75">
      <c r="F398" s="45"/>
      <c r="G398" s="27"/>
    </row>
    <row r="399" spans="6:7" ht="12.75">
      <c r="F399" s="45"/>
      <c r="G399" s="27"/>
    </row>
    <row r="400" spans="6:7" ht="12.75">
      <c r="F400" s="45"/>
      <c r="G400" s="27"/>
    </row>
    <row r="401" spans="6:7" ht="12.75">
      <c r="F401" s="45"/>
      <c r="G401" s="27"/>
    </row>
    <row r="402" spans="6:7" ht="12.75">
      <c r="F402" s="45"/>
      <c r="G402" s="27"/>
    </row>
    <row r="403" spans="6:7" ht="12.75">
      <c r="F403" s="45"/>
      <c r="G403" s="27"/>
    </row>
    <row r="404" spans="6:7" ht="12.75">
      <c r="F404" s="45"/>
      <c r="G404" s="27"/>
    </row>
    <row r="405" spans="6:7" ht="12.75">
      <c r="F405" s="45"/>
      <c r="G405" s="27"/>
    </row>
    <row r="406" spans="6:7" ht="12.75">
      <c r="F406" s="45"/>
      <c r="G406" s="27"/>
    </row>
    <row r="407" spans="6:7" ht="12.75">
      <c r="F407" s="45"/>
      <c r="G407" s="27"/>
    </row>
    <row r="408" spans="6:7" ht="12.75">
      <c r="F408" s="45"/>
      <c r="G408" s="27"/>
    </row>
    <row r="409" spans="6:7" ht="12.75">
      <c r="F409" s="45"/>
      <c r="G409" s="27"/>
    </row>
    <row r="410" spans="6:7" ht="12.75">
      <c r="F410" s="45"/>
      <c r="G410" s="27"/>
    </row>
    <row r="411" spans="6:7" ht="12.75">
      <c r="F411" s="45"/>
      <c r="G411" s="27"/>
    </row>
    <row r="412" spans="6:7" ht="12.75">
      <c r="F412" s="45"/>
      <c r="G412" s="27"/>
    </row>
    <row r="413" spans="6:7" ht="12.75">
      <c r="F413" s="45"/>
      <c r="G413" s="27"/>
    </row>
    <row r="414" spans="6:7" ht="12.75">
      <c r="F414" s="45"/>
      <c r="G414" s="27"/>
    </row>
    <row r="415" spans="6:7" ht="12.75">
      <c r="F415" s="45"/>
      <c r="G415" s="27"/>
    </row>
    <row r="416" spans="6:7" ht="12.75">
      <c r="F416" s="45"/>
      <c r="G416" s="27"/>
    </row>
    <row r="417" spans="6:7" ht="12.75">
      <c r="F417" s="45"/>
      <c r="G417" s="27"/>
    </row>
    <row r="418" spans="6:7" ht="12.75">
      <c r="F418" s="45"/>
      <c r="G418" s="27"/>
    </row>
    <row r="419" spans="6:7" ht="12.75">
      <c r="F419" s="45"/>
      <c r="G419" s="27"/>
    </row>
    <row r="420" spans="6:7" ht="12.75">
      <c r="F420" s="45"/>
      <c r="G420" s="27"/>
    </row>
    <row r="421" spans="6:7" ht="12.75">
      <c r="F421" s="45"/>
      <c r="G421" s="27"/>
    </row>
    <row r="422" spans="6:7" ht="12.75">
      <c r="F422" s="45"/>
      <c r="G422" s="27"/>
    </row>
    <row r="423" spans="6:7" ht="12.75">
      <c r="F423" s="45"/>
      <c r="G423" s="27"/>
    </row>
    <row r="424" spans="6:7" ht="12.75">
      <c r="F424" s="45"/>
      <c r="G424" s="27"/>
    </row>
    <row r="425" spans="6:7" ht="12.75">
      <c r="F425" s="45"/>
      <c r="G425" s="27"/>
    </row>
    <row r="426" spans="6:7" ht="12.75">
      <c r="F426" s="45"/>
      <c r="G426" s="27"/>
    </row>
    <row r="427" spans="6:7" ht="12.75">
      <c r="F427" s="45"/>
      <c r="G427" s="27"/>
    </row>
    <row r="428" spans="6:7" ht="12.75">
      <c r="F428" s="45"/>
      <c r="G428" s="27"/>
    </row>
    <row r="429" spans="6:7" ht="12.75">
      <c r="F429" s="45"/>
      <c r="G429" s="27"/>
    </row>
    <row r="430" spans="6:7" ht="12.75">
      <c r="F430" s="45"/>
      <c r="G430" s="27"/>
    </row>
    <row r="431" spans="6:7" ht="12.75">
      <c r="F431" s="45"/>
      <c r="G431" s="27"/>
    </row>
    <row r="432" spans="6:7" ht="12.75">
      <c r="F432" s="45"/>
      <c r="G432" s="27"/>
    </row>
    <row r="433" spans="6:7" ht="12.75">
      <c r="F433" s="45"/>
      <c r="G433" s="27"/>
    </row>
    <row r="434" spans="6:7" ht="12.75">
      <c r="F434" s="45"/>
      <c r="G434" s="27"/>
    </row>
    <row r="435" spans="6:7" ht="12.75">
      <c r="F435" s="45"/>
      <c r="G435" s="27"/>
    </row>
    <row r="436" spans="6:7" ht="12.75">
      <c r="F436" s="45"/>
      <c r="G436" s="27"/>
    </row>
    <row r="437" spans="6:7" ht="12.75">
      <c r="F437" s="45"/>
      <c r="G437" s="27"/>
    </row>
    <row r="438" spans="6:7" ht="12.75">
      <c r="F438" s="45"/>
      <c r="G438" s="27"/>
    </row>
    <row r="439" spans="6:7" ht="12.75">
      <c r="F439" s="45"/>
      <c r="G439" s="27"/>
    </row>
    <row r="440" spans="6:7" ht="12.75">
      <c r="F440" s="45"/>
      <c r="G440" s="27"/>
    </row>
    <row r="441" spans="6:7" ht="12.75">
      <c r="F441" s="45"/>
      <c r="G441" s="27"/>
    </row>
    <row r="442" spans="6:7" ht="12.75">
      <c r="F442" s="45"/>
      <c r="G442" s="27"/>
    </row>
    <row r="443" spans="6:7" ht="12.75">
      <c r="F443" s="45"/>
      <c r="G443" s="27"/>
    </row>
    <row r="444" spans="6:7" ht="12.75">
      <c r="F444" s="45"/>
      <c r="G444" s="27"/>
    </row>
    <row r="445" spans="6:7" ht="12.75">
      <c r="F445" s="45"/>
      <c r="G445" s="27"/>
    </row>
    <row r="446" spans="6:7" ht="12.75">
      <c r="F446" s="45"/>
      <c r="G446" s="27"/>
    </row>
    <row r="447" spans="6:7" ht="12.75">
      <c r="F447" s="45"/>
      <c r="G447" s="27"/>
    </row>
    <row r="448" spans="6:7" ht="12.75">
      <c r="F448" s="45"/>
      <c r="G448" s="27"/>
    </row>
    <row r="449" spans="6:7" ht="12.75">
      <c r="F449" s="45"/>
      <c r="G449" s="27"/>
    </row>
    <row r="450" spans="6:7" ht="12.75">
      <c r="F450" s="45"/>
      <c r="G450" s="27"/>
    </row>
    <row r="451" spans="6:7" ht="12.75">
      <c r="F451" s="45"/>
      <c r="G451" s="27"/>
    </row>
    <row r="452" spans="6:7" ht="12.75">
      <c r="F452" s="45"/>
      <c r="G452" s="27"/>
    </row>
    <row r="453" spans="6:7" ht="12.75">
      <c r="F453" s="45"/>
      <c r="G453" s="27"/>
    </row>
    <row r="454" spans="6:7" ht="12.75">
      <c r="F454" s="45"/>
      <c r="G454" s="27"/>
    </row>
    <row r="455" spans="6:7" ht="12.75">
      <c r="F455" s="45"/>
      <c r="G455" s="27"/>
    </row>
    <row r="456" spans="6:7" ht="12.75">
      <c r="F456" s="45"/>
      <c r="G456" s="27"/>
    </row>
    <row r="457" spans="6:7" ht="12.75">
      <c r="F457" s="45"/>
      <c r="G457" s="27"/>
    </row>
    <row r="458" spans="6:7" ht="12.75">
      <c r="F458" s="45"/>
      <c r="G458" s="27"/>
    </row>
    <row r="459" spans="6:7" ht="12.75">
      <c r="F459" s="45"/>
      <c r="G459" s="27"/>
    </row>
    <row r="460" spans="6:7" ht="12.75">
      <c r="F460" s="45"/>
      <c r="G460" s="27"/>
    </row>
    <row r="461" spans="6:7" ht="12.75">
      <c r="F461" s="45"/>
      <c r="G461" s="27"/>
    </row>
    <row r="462" spans="6:7" ht="12.75">
      <c r="F462" s="45"/>
      <c r="G462" s="27"/>
    </row>
    <row r="463" spans="6:7" ht="12.75">
      <c r="F463" s="45"/>
      <c r="G463" s="27"/>
    </row>
    <row r="464" spans="6:7" ht="12.75">
      <c r="F464" s="45"/>
      <c r="G464" s="27"/>
    </row>
    <row r="465" spans="6:7" ht="12.75">
      <c r="F465" s="45"/>
      <c r="G465" s="27"/>
    </row>
    <row r="466" spans="6:7" ht="12.75">
      <c r="F466" s="45"/>
      <c r="G466" s="27"/>
    </row>
    <row r="467" spans="6:7" ht="12.75">
      <c r="F467" s="45"/>
      <c r="G467" s="27"/>
    </row>
    <row r="468" spans="6:7" ht="12.75">
      <c r="F468" s="45"/>
      <c r="G468" s="27"/>
    </row>
    <row r="469" spans="6:7" ht="12.75">
      <c r="F469" s="45"/>
      <c r="G469" s="27"/>
    </row>
    <row r="470" spans="6:7" ht="12.75">
      <c r="F470" s="45"/>
      <c r="G470" s="27"/>
    </row>
    <row r="471" spans="6:7" ht="12.75">
      <c r="F471" s="45"/>
      <c r="G471" s="27"/>
    </row>
    <row r="472" spans="6:7" ht="12.75">
      <c r="F472" s="45"/>
      <c r="G472" s="27"/>
    </row>
    <row r="473" spans="6:7" ht="12.75">
      <c r="F473" s="45"/>
      <c r="G473" s="27"/>
    </row>
    <row r="474" spans="6:7" ht="12.75">
      <c r="F474" s="45"/>
      <c r="G474" s="27"/>
    </row>
    <row r="475" spans="6:7" ht="12.75">
      <c r="F475" s="45"/>
      <c r="G475" s="27"/>
    </row>
    <row r="476" spans="6:7" ht="12.75">
      <c r="F476" s="45"/>
      <c r="G476" s="27"/>
    </row>
    <row r="477" spans="6:7" ht="12.75">
      <c r="F477" s="45"/>
      <c r="G477" s="27"/>
    </row>
    <row r="478" spans="6:7" ht="12.75">
      <c r="F478" s="45"/>
      <c r="G478" s="27"/>
    </row>
    <row r="479" spans="6:7" ht="12.75">
      <c r="F479" s="45"/>
      <c r="G479" s="27"/>
    </row>
    <row r="480" spans="6:7" ht="12.75">
      <c r="F480" s="45"/>
      <c r="G480" s="27"/>
    </row>
    <row r="481" spans="6:7" ht="12.75">
      <c r="F481" s="45"/>
      <c r="G481" s="27"/>
    </row>
    <row r="482" spans="6:7" ht="12.75">
      <c r="F482" s="45"/>
      <c r="G482" s="27"/>
    </row>
    <row r="483" spans="6:7" ht="12.75">
      <c r="F483" s="45"/>
      <c r="G483" s="27"/>
    </row>
    <row r="484" spans="6:7" ht="12.75">
      <c r="F484" s="45"/>
      <c r="G484" s="27"/>
    </row>
    <row r="485" spans="6:7" ht="12.75">
      <c r="F485" s="45"/>
      <c r="G485" s="27"/>
    </row>
    <row r="486" spans="6:7" ht="12.75">
      <c r="F486" s="45"/>
      <c r="G486" s="27"/>
    </row>
    <row r="487" spans="6:7" ht="12.75">
      <c r="F487" s="45"/>
      <c r="G487" s="27"/>
    </row>
    <row r="488" spans="6:7" ht="12.75">
      <c r="F488" s="45"/>
      <c r="G488" s="27"/>
    </row>
    <row r="489" spans="6:7" ht="12.75">
      <c r="F489" s="45"/>
      <c r="G489" s="27"/>
    </row>
    <row r="490" spans="6:7" ht="12.75">
      <c r="F490" s="45"/>
      <c r="G490" s="27"/>
    </row>
    <row r="491" spans="6:7" ht="12.75">
      <c r="F491" s="45"/>
      <c r="G491" s="27"/>
    </row>
    <row r="492" spans="6:7" ht="12.75">
      <c r="F492" s="45"/>
      <c r="G492" s="27"/>
    </row>
    <row r="493" spans="6:7" ht="12.75">
      <c r="F493" s="45"/>
      <c r="G493" s="27"/>
    </row>
    <row r="494" spans="6:7" ht="12.75">
      <c r="F494" s="45"/>
      <c r="G494" s="27"/>
    </row>
    <row r="495" spans="6:7" ht="12.75">
      <c r="F495" s="45"/>
      <c r="G495" s="27"/>
    </row>
    <row r="496" spans="6:7" ht="12.75">
      <c r="F496" s="45"/>
      <c r="G496" s="27"/>
    </row>
    <row r="497" spans="6:7" ht="12.75">
      <c r="F497" s="45"/>
      <c r="G497" s="27"/>
    </row>
    <row r="498" spans="6:7" ht="12.75">
      <c r="F498" s="45"/>
      <c r="G498" s="27"/>
    </row>
    <row r="499" spans="6:7" ht="12.75">
      <c r="F499" s="45"/>
      <c r="G499" s="27"/>
    </row>
    <row r="500" spans="6:7" ht="12.75">
      <c r="F500" s="45"/>
      <c r="G500" s="27"/>
    </row>
    <row r="501" spans="6:7" ht="12.75">
      <c r="F501" s="45"/>
      <c r="G501" s="27"/>
    </row>
    <row r="502" spans="6:7" ht="12.75">
      <c r="F502" s="45"/>
      <c r="G502" s="27"/>
    </row>
    <row r="503" spans="6:7" ht="12.75">
      <c r="F503" s="45"/>
      <c r="G503" s="27"/>
    </row>
    <row r="504" spans="6:7" ht="12.75">
      <c r="F504" s="45"/>
      <c r="G504" s="27"/>
    </row>
    <row r="505" spans="6:7" ht="12.75">
      <c r="F505" s="45"/>
      <c r="G505" s="27"/>
    </row>
    <row r="506" spans="6:7" ht="12.75">
      <c r="F506" s="45"/>
      <c r="G506" s="27"/>
    </row>
    <row r="507" spans="6:7" ht="12.75">
      <c r="F507" s="45"/>
      <c r="G507" s="27"/>
    </row>
    <row r="508" spans="6:7" ht="12.75">
      <c r="F508" s="45"/>
      <c r="G508" s="27"/>
    </row>
    <row r="509" spans="6:7" ht="12.75">
      <c r="F509" s="45"/>
      <c r="G509" s="27"/>
    </row>
    <row r="510" spans="6:7" ht="12.75">
      <c r="F510" s="45"/>
      <c r="G510" s="27"/>
    </row>
    <row r="511" spans="6:7" ht="12.75">
      <c r="F511" s="45"/>
      <c r="G511" s="27"/>
    </row>
    <row r="512" spans="6:7" ht="12.75">
      <c r="F512" s="45"/>
      <c r="G512" s="27"/>
    </row>
    <row r="513" spans="6:7" ht="12.75">
      <c r="F513" s="45"/>
      <c r="G513" s="27"/>
    </row>
    <row r="514" spans="6:7" ht="12.75">
      <c r="F514" s="45"/>
      <c r="G514" s="27"/>
    </row>
    <row r="515" spans="6:7" ht="12.75">
      <c r="F515" s="45"/>
      <c r="G515" s="27"/>
    </row>
    <row r="516" spans="6:7" ht="12.75">
      <c r="F516" s="45"/>
      <c r="G516" s="27"/>
    </row>
    <row r="517" spans="6:7" ht="12.75">
      <c r="F517" s="45"/>
      <c r="G517" s="27"/>
    </row>
    <row r="518" spans="6:7" ht="12.75">
      <c r="F518" s="45"/>
      <c r="G518" s="27"/>
    </row>
    <row r="519" spans="6:7" ht="12.75">
      <c r="F519" s="45"/>
      <c r="G519" s="27"/>
    </row>
    <row r="520" spans="6:7" ht="12.75">
      <c r="F520" s="45"/>
      <c r="G520" s="27"/>
    </row>
    <row r="521" spans="6:7" ht="12.75">
      <c r="F521" s="45"/>
      <c r="G521" s="27"/>
    </row>
    <row r="522" spans="6:7" ht="12.75">
      <c r="F522" s="45"/>
      <c r="G522" s="27"/>
    </row>
    <row r="523" spans="6:7" ht="12.75">
      <c r="F523" s="45"/>
      <c r="G523" s="27"/>
    </row>
    <row r="524" spans="6:7" ht="12.75">
      <c r="F524" s="45"/>
      <c r="G524" s="27"/>
    </row>
    <row r="525" spans="6:7" ht="12.75">
      <c r="F525" s="45"/>
      <c r="G525" s="27"/>
    </row>
    <row r="526" spans="6:7" ht="12.75">
      <c r="F526" s="45"/>
      <c r="G526" s="27"/>
    </row>
    <row r="527" spans="6:7" ht="12.75">
      <c r="F527" s="45"/>
      <c r="G527" s="27"/>
    </row>
    <row r="528" spans="6:7" ht="12.75">
      <c r="F528" s="45"/>
      <c r="G528" s="27"/>
    </row>
    <row r="529" spans="6:7" ht="12.75">
      <c r="F529" s="45"/>
      <c r="G529" s="27"/>
    </row>
    <row r="530" spans="6:7" ht="12.75">
      <c r="F530" s="45"/>
      <c r="G530" s="27"/>
    </row>
    <row r="531" spans="6:7" ht="12.75">
      <c r="F531" s="45"/>
      <c r="G531" s="27"/>
    </row>
    <row r="532" spans="6:7" ht="12.75">
      <c r="F532" s="45"/>
      <c r="G532" s="27"/>
    </row>
    <row r="533" spans="6:7" ht="12.75">
      <c r="F533" s="45"/>
      <c r="G533" s="27"/>
    </row>
    <row r="534" spans="6:7" ht="12.75">
      <c r="F534" s="45"/>
      <c r="G534" s="27"/>
    </row>
    <row r="535" spans="6:7" ht="12.75">
      <c r="F535" s="45"/>
      <c r="G535" s="27"/>
    </row>
    <row r="536" spans="6:7" ht="12.75">
      <c r="F536" s="45"/>
      <c r="G536" s="27"/>
    </row>
    <row r="537" spans="6:7" ht="12.75">
      <c r="F537" s="45"/>
      <c r="G537" s="27"/>
    </row>
    <row r="538" spans="6:7" ht="12.75">
      <c r="F538" s="45"/>
      <c r="G538" s="27"/>
    </row>
    <row r="539" spans="6:7" ht="12.75">
      <c r="F539" s="45"/>
      <c r="G539" s="27"/>
    </row>
    <row r="540" spans="6:7" ht="12.75">
      <c r="F540" s="45"/>
      <c r="G540" s="27"/>
    </row>
    <row r="541" spans="6:7" ht="12.75">
      <c r="F541" s="45"/>
      <c r="G541" s="27"/>
    </row>
    <row r="542" spans="6:7" ht="12.75">
      <c r="F542" s="45"/>
      <c r="G542" s="27"/>
    </row>
    <row r="543" spans="6:7" ht="12.75">
      <c r="F543" s="45"/>
      <c r="G543" s="27"/>
    </row>
    <row r="544" spans="6:7" ht="12.75">
      <c r="F544" s="45"/>
      <c r="G544" s="27"/>
    </row>
    <row r="545" spans="6:7" ht="12.75">
      <c r="F545" s="45"/>
      <c r="G545" s="27"/>
    </row>
    <row r="546" spans="6:7" ht="12.75">
      <c r="F546" s="45"/>
      <c r="G546" s="27"/>
    </row>
    <row r="547" spans="6:7" ht="12.75">
      <c r="F547" s="45"/>
      <c r="G547" s="27"/>
    </row>
    <row r="548" spans="6:7" ht="12.75">
      <c r="F548" s="45"/>
      <c r="G548" s="27"/>
    </row>
    <row r="549" spans="6:7" ht="12.75">
      <c r="F549" s="45"/>
      <c r="G549" s="27"/>
    </row>
    <row r="550" spans="6:7" ht="12.75">
      <c r="F550" s="45"/>
      <c r="G550" s="27"/>
    </row>
    <row r="551" spans="6:7" ht="12.75">
      <c r="F551" s="45"/>
      <c r="G551" s="27"/>
    </row>
    <row r="552" spans="6:7" ht="12.75">
      <c r="F552" s="45"/>
      <c r="G552" s="27"/>
    </row>
    <row r="553" spans="6:7" ht="12.75">
      <c r="F553" s="45"/>
      <c r="G553" s="27"/>
    </row>
    <row r="554" spans="6:7" ht="12.75">
      <c r="F554" s="45"/>
      <c r="G554" s="27"/>
    </row>
    <row r="555" spans="6:7" ht="12.75">
      <c r="F555" s="45"/>
      <c r="G555" s="27"/>
    </row>
    <row r="556" spans="6:7" ht="12.75">
      <c r="F556" s="45"/>
      <c r="G556" s="27"/>
    </row>
    <row r="557" spans="6:7" ht="12.75">
      <c r="F557" s="45"/>
      <c r="G557" s="27"/>
    </row>
    <row r="558" spans="6:7" ht="12.75">
      <c r="F558" s="45"/>
      <c r="G558" s="27"/>
    </row>
    <row r="559" spans="6:7" ht="12.75">
      <c r="F559" s="45"/>
      <c r="G559" s="27"/>
    </row>
    <row r="560" spans="6:7" ht="12.75">
      <c r="F560" s="45"/>
      <c r="G560" s="27"/>
    </row>
    <row r="561" spans="6:7" ht="12.75">
      <c r="F561" s="45"/>
      <c r="G561" s="27"/>
    </row>
    <row r="562" spans="6:7" ht="12.75">
      <c r="F562" s="45"/>
      <c r="G562" s="27"/>
    </row>
    <row r="563" spans="6:7" ht="12.75">
      <c r="F563" s="45"/>
      <c r="G563" s="27"/>
    </row>
    <row r="564" spans="6:7" ht="12.75">
      <c r="F564" s="45"/>
      <c r="G564" s="27"/>
    </row>
    <row r="565" spans="6:7" ht="12.75">
      <c r="F565" s="45"/>
      <c r="G565" s="27"/>
    </row>
    <row r="566" spans="6:7" ht="12.75">
      <c r="F566" s="45"/>
      <c r="G566" s="27"/>
    </row>
    <row r="567" spans="6:7" ht="12.75">
      <c r="F567" s="45"/>
      <c r="G567" s="27"/>
    </row>
    <row r="568" spans="6:7" ht="12.75">
      <c r="F568" s="45"/>
      <c r="G568" s="27"/>
    </row>
    <row r="569" spans="6:7" ht="12.75">
      <c r="F569" s="45"/>
      <c r="G569" s="27"/>
    </row>
    <row r="570" spans="6:7" ht="12.75">
      <c r="F570" s="45"/>
      <c r="G570" s="27"/>
    </row>
    <row r="571" spans="6:7" ht="12.75">
      <c r="F571" s="45"/>
      <c r="G571" s="27"/>
    </row>
    <row r="572" spans="6:7" ht="12.75">
      <c r="F572" s="45"/>
      <c r="G572" s="27"/>
    </row>
    <row r="573" spans="6:7" ht="12.75">
      <c r="F573" s="45"/>
      <c r="G573" s="27"/>
    </row>
    <row r="574" spans="6:7" ht="12.75">
      <c r="F574" s="45"/>
      <c r="G574" s="27"/>
    </row>
    <row r="575" spans="6:7" ht="12.75">
      <c r="F575" s="45"/>
      <c r="G575" s="27"/>
    </row>
    <row r="576" spans="6:7" ht="12.75">
      <c r="F576" s="45"/>
      <c r="G576" s="27"/>
    </row>
    <row r="577" spans="6:7" ht="12.75">
      <c r="F577" s="45"/>
      <c r="G577" s="27"/>
    </row>
    <row r="578" spans="6:7" ht="12.75">
      <c r="F578" s="45"/>
      <c r="G578" s="27"/>
    </row>
    <row r="579" spans="6:7" ht="12.75">
      <c r="F579" s="45"/>
      <c r="G579" s="27"/>
    </row>
    <row r="580" spans="6:7" ht="12.75">
      <c r="F580" s="45"/>
      <c r="G580" s="27"/>
    </row>
    <row r="581" spans="6:7" ht="12.75">
      <c r="F581" s="45"/>
      <c r="G581" s="27"/>
    </row>
    <row r="582" spans="6:7" ht="12.75">
      <c r="F582" s="45"/>
      <c r="G582" s="27"/>
    </row>
    <row r="583" spans="6:7" ht="12.75">
      <c r="F583" s="45"/>
      <c r="G583" s="27"/>
    </row>
    <row r="584" spans="6:7" ht="12.75">
      <c r="F584" s="45"/>
      <c r="G584" s="27"/>
    </row>
    <row r="585" spans="6:7" ht="12.75">
      <c r="F585" s="45"/>
      <c r="G585" s="27"/>
    </row>
    <row r="586" spans="6:7" ht="12.75">
      <c r="F586" s="45"/>
      <c r="G586" s="27"/>
    </row>
    <row r="587" spans="6:7" ht="12.75">
      <c r="F587" s="45"/>
      <c r="G587" s="27"/>
    </row>
    <row r="588" spans="6:7" ht="12.75">
      <c r="F588" s="45"/>
      <c r="G588" s="27"/>
    </row>
    <row r="589" spans="6:7" ht="12.75">
      <c r="F589" s="45"/>
      <c r="G589" s="27"/>
    </row>
    <row r="590" spans="6:7" ht="12.75">
      <c r="F590" s="45"/>
      <c r="G590" s="27"/>
    </row>
    <row r="591" spans="6:7" ht="12.75">
      <c r="F591" s="45"/>
      <c r="G591" s="27"/>
    </row>
    <row r="592" spans="6:7" ht="12.75">
      <c r="F592" s="45"/>
      <c r="G592" s="27"/>
    </row>
    <row r="593" spans="6:7" ht="12.75">
      <c r="F593" s="45"/>
      <c r="G593" s="27"/>
    </row>
    <row r="594" spans="6:7" ht="12.75">
      <c r="F594" s="45"/>
      <c r="G594" s="27"/>
    </row>
    <row r="595" spans="6:7" ht="12.75">
      <c r="F595" s="45"/>
      <c r="G595" s="27"/>
    </row>
    <row r="596" spans="6:7" ht="12.75">
      <c r="F596" s="45"/>
      <c r="G596" s="27"/>
    </row>
    <row r="597" spans="6:7" ht="12.75">
      <c r="F597" s="45"/>
      <c r="G597" s="27"/>
    </row>
    <row r="598" spans="6:7" ht="12.75">
      <c r="F598" s="45"/>
      <c r="G598" s="27"/>
    </row>
    <row r="599" spans="6:7" ht="12.75">
      <c r="F599" s="45"/>
      <c r="G599" s="27"/>
    </row>
    <row r="600" spans="6:7" ht="12.75">
      <c r="F600" s="45"/>
      <c r="G600" s="27"/>
    </row>
    <row r="601" spans="6:7" ht="12.75">
      <c r="F601" s="45"/>
      <c r="G601" s="27"/>
    </row>
    <row r="602" spans="6:7" ht="12.75">
      <c r="F602" s="45"/>
      <c r="G602" s="27"/>
    </row>
    <row r="603" spans="6:7" ht="12.75">
      <c r="F603" s="45"/>
      <c r="G603" s="27"/>
    </row>
    <row r="604" spans="6:7" ht="12.75">
      <c r="F604" s="45"/>
      <c r="G604" s="27"/>
    </row>
    <row r="605" spans="6:7" ht="12.75">
      <c r="F605" s="45"/>
      <c r="G605" s="27"/>
    </row>
    <row r="606" spans="6:7" ht="12.75">
      <c r="F606" s="45"/>
      <c r="G606" s="27"/>
    </row>
    <row r="607" spans="6:7" ht="12.75">
      <c r="F607" s="45"/>
      <c r="G607" s="27"/>
    </row>
    <row r="608" spans="6:7" ht="12.75">
      <c r="F608" s="45"/>
      <c r="G608" s="27"/>
    </row>
    <row r="609" spans="6:7" ht="12.75">
      <c r="F609" s="45"/>
      <c r="G609" s="27"/>
    </row>
    <row r="610" spans="6:7" ht="12.75">
      <c r="F610" s="45"/>
      <c r="G610" s="27"/>
    </row>
    <row r="611" spans="6:7" ht="12.75">
      <c r="F611" s="45"/>
      <c r="G611" s="27"/>
    </row>
    <row r="612" spans="6:7" ht="12.75">
      <c r="F612" s="45"/>
      <c r="G612" s="27"/>
    </row>
    <row r="613" spans="6:7" ht="12.75">
      <c r="F613" s="45"/>
      <c r="G613" s="27"/>
    </row>
    <row r="614" spans="6:7" ht="12.75">
      <c r="F614" s="45"/>
      <c r="G614" s="27"/>
    </row>
    <row r="615" spans="6:7" ht="12.75">
      <c r="F615" s="45"/>
      <c r="G615" s="27"/>
    </row>
    <row r="616" spans="6:7" ht="12.75">
      <c r="F616" s="45"/>
      <c r="G616" s="27"/>
    </row>
    <row r="617" spans="6:7" ht="12.75">
      <c r="F617" s="45"/>
      <c r="G617" s="27"/>
    </row>
    <row r="618" spans="6:7" ht="12.75">
      <c r="F618" s="45"/>
      <c r="G618" s="27"/>
    </row>
    <row r="619" spans="6:7" ht="12.75">
      <c r="F619" s="45"/>
      <c r="G619" s="27"/>
    </row>
    <row r="620" spans="6:7" ht="12.75">
      <c r="F620" s="45"/>
      <c r="G620" s="27"/>
    </row>
    <row r="621" spans="6:7" ht="12.75">
      <c r="F621" s="45"/>
      <c r="G621" s="27"/>
    </row>
    <row r="622" spans="6:7" ht="12.75">
      <c r="F622" s="45"/>
      <c r="G622" s="27"/>
    </row>
    <row r="623" spans="6:7" ht="12.75">
      <c r="F623" s="45"/>
      <c r="G623" s="27"/>
    </row>
    <row r="624" spans="6:7" ht="12.75">
      <c r="F624" s="45"/>
      <c r="G624" s="27"/>
    </row>
    <row r="625" spans="6:7" ht="12.75">
      <c r="F625" s="45"/>
      <c r="G625" s="27"/>
    </row>
    <row r="626" spans="6:7" ht="12.75">
      <c r="F626" s="45"/>
      <c r="G626" s="27"/>
    </row>
    <row r="627" spans="6:7" ht="12.75">
      <c r="F627" s="45"/>
      <c r="G627" s="27"/>
    </row>
    <row r="628" spans="6:7" ht="12.75">
      <c r="F628" s="45"/>
      <c r="G628" s="27"/>
    </row>
    <row r="629" spans="6:7" ht="12.75">
      <c r="F629" s="45"/>
      <c r="G629" s="27"/>
    </row>
    <row r="630" spans="6:7" ht="12.75">
      <c r="F630" s="45"/>
      <c r="G630" s="27"/>
    </row>
    <row r="631" spans="6:7" ht="12.75">
      <c r="F631" s="45"/>
      <c r="G631" s="27"/>
    </row>
    <row r="632" spans="6:7" ht="12.75">
      <c r="F632" s="45"/>
      <c r="G632" s="27"/>
    </row>
    <row r="633" spans="6:7" ht="12.75">
      <c r="F633" s="45"/>
      <c r="G633" s="27"/>
    </row>
    <row r="634" spans="6:7" ht="12.75">
      <c r="F634" s="45"/>
      <c r="G634" s="27"/>
    </row>
    <row r="635" spans="6:7" ht="12.75">
      <c r="F635" s="45"/>
      <c r="G635" s="27"/>
    </row>
    <row r="636" spans="6:7" ht="12.75">
      <c r="F636" s="45"/>
      <c r="G636" s="27"/>
    </row>
    <row r="637" spans="6:7" ht="12.75">
      <c r="F637" s="45"/>
      <c r="G637" s="27"/>
    </row>
    <row r="638" spans="6:7" ht="12.75">
      <c r="F638" s="45"/>
      <c r="G638" s="27"/>
    </row>
    <row r="639" spans="6:7" ht="12.75">
      <c r="F639" s="45"/>
      <c r="G639" s="27"/>
    </row>
    <row r="640" spans="6:7" ht="12.75">
      <c r="F640" s="45"/>
      <c r="G640" s="27"/>
    </row>
    <row r="641" spans="6:7" ht="12.75">
      <c r="F641" s="45"/>
      <c r="G641" s="27"/>
    </row>
    <row r="642" spans="6:7" ht="12.75">
      <c r="F642" s="45"/>
      <c r="G642" s="27"/>
    </row>
  </sheetData>
  <mergeCells count="8">
    <mergeCell ref="A160:D160"/>
    <mergeCell ref="A6:G6"/>
    <mergeCell ref="A7:G7"/>
    <mergeCell ref="C138:C139"/>
    <mergeCell ref="D138:D139"/>
    <mergeCell ref="E138:E139"/>
    <mergeCell ref="F138:F139"/>
    <mergeCell ref="G138:G139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/>
  <dimension ref="A1:L52"/>
  <sheetViews>
    <sheetView workbookViewId="0" topLeftCell="A1">
      <selection activeCell="H52" sqref="H52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3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90"/>
      <c r="F1" s="90"/>
      <c r="L1" s="374" t="s">
        <v>5</v>
      </c>
    </row>
    <row r="2" spans="5:12" ht="13.5" customHeight="1">
      <c r="E2" s="91"/>
      <c r="F2" s="91"/>
      <c r="L2" s="43" t="s">
        <v>323</v>
      </c>
    </row>
    <row r="3" spans="5:12" ht="15.75" customHeight="1">
      <c r="E3" s="91"/>
      <c r="F3" s="91"/>
      <c r="L3" s="43" t="s">
        <v>194</v>
      </c>
    </row>
    <row r="4" ht="3" customHeight="1"/>
    <row r="5" spans="1:12" s="92" customFormat="1" ht="16.5">
      <c r="A5" s="700" t="s">
        <v>277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</row>
    <row r="6" spans="1:12" s="92" customFormat="1" ht="15" customHeight="1">
      <c r="A6" s="700" t="s">
        <v>294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</row>
    <row r="7" ht="5.25" customHeight="1"/>
    <row r="8" spans="1:12" s="88" customFormat="1" ht="11.25" customHeight="1">
      <c r="A8" s="564" t="s">
        <v>209</v>
      </c>
      <c r="B8" s="564"/>
      <c r="C8" s="564"/>
      <c r="D8" s="706" t="s">
        <v>527</v>
      </c>
      <c r="E8" s="707"/>
      <c r="F8" s="685" t="s">
        <v>274</v>
      </c>
      <c r="G8" s="685" t="s">
        <v>510</v>
      </c>
      <c r="H8" s="593" t="s">
        <v>241</v>
      </c>
      <c r="I8" s="593"/>
      <c r="J8" s="593"/>
      <c r="K8" s="593"/>
      <c r="L8" s="593"/>
    </row>
    <row r="9" spans="1:12" s="88" customFormat="1" ht="11.25" customHeight="1">
      <c r="A9" s="704" t="s">
        <v>57</v>
      </c>
      <c r="B9" s="704" t="s">
        <v>61</v>
      </c>
      <c r="C9" s="704" t="s">
        <v>160</v>
      </c>
      <c r="D9" s="708"/>
      <c r="E9" s="709"/>
      <c r="F9" s="686"/>
      <c r="G9" s="686"/>
      <c r="H9" s="593" t="s">
        <v>524</v>
      </c>
      <c r="I9" s="593" t="s">
        <v>244</v>
      </c>
      <c r="J9" s="593"/>
      <c r="K9" s="593"/>
      <c r="L9" s="593" t="s">
        <v>47</v>
      </c>
    </row>
    <row r="10" spans="1:12" s="88" customFormat="1" ht="20.25" customHeight="1">
      <c r="A10" s="705"/>
      <c r="B10" s="705"/>
      <c r="C10" s="705"/>
      <c r="D10" s="710"/>
      <c r="E10" s="711"/>
      <c r="F10" s="687"/>
      <c r="G10" s="687"/>
      <c r="H10" s="593"/>
      <c r="I10" s="502" t="s">
        <v>276</v>
      </c>
      <c r="J10" s="502" t="s">
        <v>275</v>
      </c>
      <c r="K10" s="502" t="s">
        <v>495</v>
      </c>
      <c r="L10" s="593"/>
    </row>
    <row r="11" spans="1:12" s="88" customFormat="1" ht="14.25" customHeight="1">
      <c r="A11" s="87">
        <v>1</v>
      </c>
      <c r="B11" s="87">
        <v>2</v>
      </c>
      <c r="C11" s="87">
        <v>3</v>
      </c>
      <c r="D11" s="564">
        <v>4</v>
      </c>
      <c r="E11" s="712"/>
      <c r="F11" s="89">
        <v>5</v>
      </c>
      <c r="G11" s="89">
        <v>6</v>
      </c>
      <c r="H11" s="89">
        <v>7</v>
      </c>
      <c r="I11" s="89">
        <v>8</v>
      </c>
      <c r="J11" s="89">
        <v>9</v>
      </c>
      <c r="K11" s="89">
        <v>10</v>
      </c>
      <c r="L11" s="89">
        <v>11</v>
      </c>
    </row>
    <row r="12" spans="1:12" s="50" customFormat="1" ht="21" customHeight="1">
      <c r="A12" s="692">
        <v>600</v>
      </c>
      <c r="B12" s="692">
        <v>60014</v>
      </c>
      <c r="C12" s="701">
        <v>2310</v>
      </c>
      <c r="D12" s="697" t="s">
        <v>511</v>
      </c>
      <c r="E12" s="690"/>
      <c r="F12" s="444" t="s">
        <v>131</v>
      </c>
      <c r="G12" s="444">
        <f>SUM(H12,L12)</f>
        <v>169800</v>
      </c>
      <c r="H12" s="93">
        <v>169800</v>
      </c>
      <c r="I12" s="94">
        <v>0</v>
      </c>
      <c r="J12" s="95">
        <v>0</v>
      </c>
      <c r="K12" s="95">
        <v>169800</v>
      </c>
      <c r="L12" s="95">
        <v>0</v>
      </c>
    </row>
    <row r="13" spans="1:12" s="50" customFormat="1" ht="12.75" customHeight="1">
      <c r="A13" s="696"/>
      <c r="B13" s="696"/>
      <c r="C13" s="702"/>
      <c r="D13" s="713" t="s">
        <v>514</v>
      </c>
      <c r="E13" s="714"/>
      <c r="F13" s="448"/>
      <c r="G13" s="447"/>
      <c r="H13" s="176"/>
      <c r="I13" s="177"/>
      <c r="J13" s="178"/>
      <c r="K13" s="178"/>
      <c r="L13" s="178"/>
    </row>
    <row r="14" spans="1:12" s="50" customFormat="1" ht="12.75" customHeight="1">
      <c r="A14" s="696"/>
      <c r="B14" s="696"/>
      <c r="C14" s="702"/>
      <c r="D14" s="713" t="s">
        <v>295</v>
      </c>
      <c r="E14" s="714"/>
      <c r="F14" s="448"/>
      <c r="G14" s="447"/>
      <c r="H14" s="176"/>
      <c r="I14" s="177"/>
      <c r="J14" s="178"/>
      <c r="K14" s="178"/>
      <c r="L14" s="178"/>
    </row>
    <row r="15" spans="1:12" s="50" customFormat="1" ht="12.75" customHeight="1">
      <c r="A15" s="696"/>
      <c r="B15" s="696"/>
      <c r="C15" s="702"/>
      <c r="D15" s="713" t="s">
        <v>513</v>
      </c>
      <c r="E15" s="714"/>
      <c r="F15" s="448"/>
      <c r="G15" s="447"/>
      <c r="H15" s="176"/>
      <c r="I15" s="177"/>
      <c r="J15" s="178"/>
      <c r="K15" s="178"/>
      <c r="L15" s="178"/>
    </row>
    <row r="16" spans="1:12" s="50" customFormat="1" ht="12.75" customHeight="1">
      <c r="A16" s="696"/>
      <c r="B16" s="696"/>
      <c r="C16" s="702"/>
      <c r="D16" s="713" t="s">
        <v>512</v>
      </c>
      <c r="E16" s="714"/>
      <c r="F16" s="448"/>
      <c r="G16" s="447"/>
      <c r="H16" s="176"/>
      <c r="I16" s="177"/>
      <c r="J16" s="178"/>
      <c r="K16" s="178"/>
      <c r="L16" s="178"/>
    </row>
    <row r="17" spans="1:12" s="50" customFormat="1" ht="33" customHeight="1">
      <c r="A17" s="693"/>
      <c r="B17" s="693"/>
      <c r="C17" s="703"/>
      <c r="D17" s="713" t="s">
        <v>517</v>
      </c>
      <c r="E17" s="714"/>
      <c r="F17" s="450"/>
      <c r="G17" s="445"/>
      <c r="H17" s="179"/>
      <c r="I17" s="180"/>
      <c r="J17" s="181"/>
      <c r="K17" s="181"/>
      <c r="L17" s="181"/>
    </row>
    <row r="18" spans="1:12" s="82" customFormat="1" ht="21" customHeight="1" hidden="1">
      <c r="A18" s="692">
        <v>600</v>
      </c>
      <c r="B18" s="692">
        <v>60014</v>
      </c>
      <c r="C18" s="152">
        <v>6610</v>
      </c>
      <c r="D18" s="690" t="s">
        <v>301</v>
      </c>
      <c r="E18" s="691"/>
      <c r="F18" s="449"/>
      <c r="G18" s="449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</row>
    <row r="19" spans="1:12" s="82" customFormat="1" ht="38.25" customHeight="1" hidden="1">
      <c r="A19" s="693"/>
      <c r="B19" s="693"/>
      <c r="C19" s="152">
        <v>6619</v>
      </c>
      <c r="D19" s="690" t="s">
        <v>448</v>
      </c>
      <c r="E19" s="691"/>
      <c r="F19" s="449"/>
      <c r="G19" s="449">
        <v>0</v>
      </c>
      <c r="H19" s="180"/>
      <c r="I19" s="180"/>
      <c r="J19" s="180"/>
      <c r="K19" s="180"/>
      <c r="L19" s="180"/>
    </row>
    <row r="20" spans="1:12" s="82" customFormat="1" ht="30" customHeight="1">
      <c r="A20" s="151">
        <v>630</v>
      </c>
      <c r="B20" s="151">
        <v>63003</v>
      </c>
      <c r="C20" s="419">
        <v>6639</v>
      </c>
      <c r="D20" s="694" t="s">
        <v>461</v>
      </c>
      <c r="E20" s="715"/>
      <c r="F20" s="449" t="s">
        <v>131</v>
      </c>
      <c r="G20" s="449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</row>
    <row r="21" spans="1:12" s="51" customFormat="1" ht="39" customHeight="1">
      <c r="A21" s="174">
        <v>750</v>
      </c>
      <c r="B21" s="174">
        <v>75018</v>
      </c>
      <c r="C21" s="174">
        <v>2330</v>
      </c>
      <c r="D21" s="697" t="s">
        <v>210</v>
      </c>
      <c r="E21" s="697"/>
      <c r="F21" s="184" t="s">
        <v>131</v>
      </c>
      <c r="G21" s="184">
        <v>6000</v>
      </c>
      <c r="H21" s="185">
        <v>6000</v>
      </c>
      <c r="I21" s="185">
        <v>0</v>
      </c>
      <c r="J21" s="185">
        <v>0</v>
      </c>
      <c r="K21" s="185">
        <v>6000</v>
      </c>
      <c r="L21" s="185">
        <v>0</v>
      </c>
    </row>
    <row r="22" spans="1:12" s="51" customFormat="1" ht="56.25" customHeight="1">
      <c r="A22" s="174">
        <v>750</v>
      </c>
      <c r="B22" s="174">
        <v>75020</v>
      </c>
      <c r="C22" s="174">
        <v>2310</v>
      </c>
      <c r="D22" s="697" t="s">
        <v>493</v>
      </c>
      <c r="E22" s="697"/>
      <c r="F22" s="184">
        <v>5302</v>
      </c>
      <c r="G22" s="184"/>
      <c r="H22" s="185"/>
      <c r="I22" s="185"/>
      <c r="J22" s="185"/>
      <c r="K22" s="185"/>
      <c r="L22" s="185"/>
    </row>
    <row r="23" spans="1:12" s="51" customFormat="1" ht="20.25" customHeight="1">
      <c r="A23" s="174">
        <v>750</v>
      </c>
      <c r="B23" s="174">
        <v>75020</v>
      </c>
      <c r="C23" s="174">
        <v>6610</v>
      </c>
      <c r="D23" s="694" t="s">
        <v>327</v>
      </c>
      <c r="E23" s="715"/>
      <c r="F23" s="184">
        <v>82326</v>
      </c>
      <c r="G23" s="184"/>
      <c r="H23" s="185"/>
      <c r="I23" s="185"/>
      <c r="J23" s="185"/>
      <c r="K23" s="185"/>
      <c r="L23" s="185"/>
    </row>
    <row r="24" spans="1:12" s="83" customFormat="1" ht="37.5" customHeight="1">
      <c r="A24" s="174">
        <v>801</v>
      </c>
      <c r="B24" s="174">
        <v>80120</v>
      </c>
      <c r="C24" s="174">
        <v>2310</v>
      </c>
      <c r="D24" s="697" t="s">
        <v>211</v>
      </c>
      <c r="E24" s="697"/>
      <c r="F24" s="184" t="s">
        <v>131</v>
      </c>
      <c r="G24" s="184">
        <f>14400-6600</f>
        <v>7800</v>
      </c>
      <c r="H24" s="185">
        <v>7800</v>
      </c>
      <c r="I24" s="185">
        <v>0</v>
      </c>
      <c r="J24" s="185">
        <v>0</v>
      </c>
      <c r="K24" s="185">
        <v>7800</v>
      </c>
      <c r="L24" s="185">
        <v>0</v>
      </c>
    </row>
    <row r="25" spans="1:12" s="82" customFormat="1" ht="47.25" customHeight="1">
      <c r="A25" s="174">
        <v>801</v>
      </c>
      <c r="B25" s="174">
        <v>80130</v>
      </c>
      <c r="C25" s="174">
        <v>2310</v>
      </c>
      <c r="D25" s="697" t="s">
        <v>232</v>
      </c>
      <c r="E25" s="698"/>
      <c r="F25" s="184">
        <v>0</v>
      </c>
      <c r="G25" s="183" t="s">
        <v>131</v>
      </c>
      <c r="H25" s="110" t="s">
        <v>131</v>
      </c>
      <c r="I25" s="110" t="s">
        <v>131</v>
      </c>
      <c r="J25" s="110" t="s">
        <v>131</v>
      </c>
      <c r="K25" s="110" t="s">
        <v>131</v>
      </c>
      <c r="L25" s="110" t="s">
        <v>131</v>
      </c>
    </row>
    <row r="26" spans="1:12" s="82" customFormat="1" ht="20.25" customHeight="1">
      <c r="A26" s="174">
        <v>801</v>
      </c>
      <c r="B26" s="174">
        <v>80130</v>
      </c>
      <c r="C26" s="174">
        <v>2310</v>
      </c>
      <c r="D26" s="697" t="s">
        <v>518</v>
      </c>
      <c r="E26" s="697"/>
      <c r="F26" s="183"/>
      <c r="G26" s="184">
        <f>2800+400-900</f>
        <v>2300</v>
      </c>
      <c r="H26" s="185">
        <v>2300</v>
      </c>
      <c r="I26" s="185">
        <v>0</v>
      </c>
      <c r="J26" s="185">
        <v>0</v>
      </c>
      <c r="K26" s="185">
        <v>2300</v>
      </c>
      <c r="L26" s="185">
        <v>0</v>
      </c>
    </row>
    <row r="27" spans="1:12" ht="27" customHeight="1">
      <c r="A27" s="150">
        <v>852</v>
      </c>
      <c r="B27" s="150">
        <v>85201</v>
      </c>
      <c r="C27" s="150">
        <v>2310</v>
      </c>
      <c r="D27" s="697" t="s">
        <v>515</v>
      </c>
      <c r="E27" s="699"/>
      <c r="F27" s="444">
        <v>30164</v>
      </c>
      <c r="G27" s="444" t="s">
        <v>131</v>
      </c>
      <c r="H27" s="93" t="s">
        <v>131</v>
      </c>
      <c r="I27" s="94" t="s">
        <v>131</v>
      </c>
      <c r="J27" s="95" t="s">
        <v>131</v>
      </c>
      <c r="K27" s="95" t="s">
        <v>131</v>
      </c>
      <c r="L27" s="95" t="s">
        <v>131</v>
      </c>
    </row>
    <row r="28" spans="1:12" ht="11.25" customHeight="1">
      <c r="A28" s="151"/>
      <c r="B28" s="151"/>
      <c r="C28" s="151"/>
      <c r="D28" s="421">
        <v>1</v>
      </c>
      <c r="E28" s="420" t="s">
        <v>299</v>
      </c>
      <c r="F28" s="445"/>
      <c r="G28" s="445"/>
      <c r="H28" s="179"/>
      <c r="I28" s="180"/>
      <c r="J28" s="181"/>
      <c r="K28" s="181"/>
      <c r="L28" s="181"/>
    </row>
    <row r="29" spans="1:12" ht="18.75" customHeight="1">
      <c r="A29" s="692">
        <v>852</v>
      </c>
      <c r="B29" s="692">
        <v>85201</v>
      </c>
      <c r="C29" s="692">
        <v>2310</v>
      </c>
      <c r="D29" s="694" t="s">
        <v>300</v>
      </c>
      <c r="E29" s="695"/>
      <c r="F29" s="444" t="s">
        <v>131</v>
      </c>
      <c r="G29" s="444">
        <v>9293</v>
      </c>
      <c r="H29" s="93">
        <v>9293</v>
      </c>
      <c r="I29" s="94" t="s">
        <v>131</v>
      </c>
      <c r="J29" s="95" t="s">
        <v>131</v>
      </c>
      <c r="K29" s="95">
        <v>9293</v>
      </c>
      <c r="L29" s="95" t="s">
        <v>131</v>
      </c>
    </row>
    <row r="30" spans="1:12" ht="10.5" customHeight="1">
      <c r="A30" s="693"/>
      <c r="B30" s="693"/>
      <c r="C30" s="693"/>
      <c r="D30" s="422">
        <v>1</v>
      </c>
      <c r="E30" s="423" t="s">
        <v>302</v>
      </c>
      <c r="F30" s="445"/>
      <c r="G30" s="445"/>
      <c r="H30" s="179"/>
      <c r="I30" s="180"/>
      <c r="J30" s="181"/>
      <c r="K30" s="181"/>
      <c r="L30" s="181"/>
    </row>
    <row r="31" spans="1:12" ht="20.25" customHeight="1">
      <c r="A31" s="692">
        <v>852</v>
      </c>
      <c r="B31" s="692">
        <v>85201</v>
      </c>
      <c r="C31" s="692">
        <v>2310</v>
      </c>
      <c r="D31" s="694" t="s">
        <v>303</v>
      </c>
      <c r="E31" s="695"/>
      <c r="F31" s="444" t="s">
        <v>131</v>
      </c>
      <c r="G31" s="444">
        <v>11026</v>
      </c>
      <c r="H31" s="93">
        <v>11026</v>
      </c>
      <c r="I31" s="94" t="s">
        <v>131</v>
      </c>
      <c r="J31" s="95" t="s">
        <v>131</v>
      </c>
      <c r="K31" s="95">
        <v>11026</v>
      </c>
      <c r="L31" s="95" t="s">
        <v>131</v>
      </c>
    </row>
    <row r="32" spans="1:12" ht="9.75" customHeight="1">
      <c r="A32" s="693"/>
      <c r="B32" s="693"/>
      <c r="C32" s="693"/>
      <c r="D32" s="422">
        <v>1</v>
      </c>
      <c r="E32" s="423" t="s">
        <v>321</v>
      </c>
      <c r="F32" s="445"/>
      <c r="G32" s="445"/>
      <c r="H32" s="99"/>
      <c r="I32" s="100"/>
      <c r="J32" s="101"/>
      <c r="K32" s="101"/>
      <c r="L32" s="101"/>
    </row>
    <row r="33" spans="1:12" ht="37.5" customHeight="1">
      <c r="A33" s="174">
        <v>852</v>
      </c>
      <c r="B33" s="174">
        <v>85201</v>
      </c>
      <c r="C33" s="174">
        <v>2320</v>
      </c>
      <c r="D33" s="697" t="s">
        <v>519</v>
      </c>
      <c r="E33" s="698"/>
      <c r="F33" s="182"/>
      <c r="G33" s="449">
        <f>941486-280000</f>
        <v>661486</v>
      </c>
      <c r="H33" s="180">
        <f>SUM(I33:K33)</f>
        <v>661486</v>
      </c>
      <c r="I33" s="180">
        <v>0</v>
      </c>
      <c r="J33" s="180">
        <v>0</v>
      </c>
      <c r="K33" s="180">
        <v>661486</v>
      </c>
      <c r="L33" s="180">
        <v>0</v>
      </c>
    </row>
    <row r="34" spans="1:12" ht="29.25" customHeight="1">
      <c r="A34" s="174">
        <v>852</v>
      </c>
      <c r="B34" s="174">
        <v>85204</v>
      </c>
      <c r="C34" s="174">
        <v>2310</v>
      </c>
      <c r="D34" s="697" t="s">
        <v>233</v>
      </c>
      <c r="E34" s="698"/>
      <c r="F34" s="183" t="s">
        <v>131</v>
      </c>
      <c r="G34" s="184">
        <v>11047</v>
      </c>
      <c r="H34" s="185">
        <v>11047</v>
      </c>
      <c r="I34" s="185">
        <v>0</v>
      </c>
      <c r="J34" s="185">
        <v>0</v>
      </c>
      <c r="K34" s="185">
        <v>11047</v>
      </c>
      <c r="L34" s="185">
        <v>0</v>
      </c>
    </row>
    <row r="35" spans="1:12" ht="21" customHeight="1">
      <c r="A35" s="692">
        <v>852</v>
      </c>
      <c r="B35" s="692">
        <v>85204</v>
      </c>
      <c r="C35" s="692">
        <v>2320</v>
      </c>
      <c r="D35" s="694" t="s">
        <v>442</v>
      </c>
      <c r="E35" s="695"/>
      <c r="F35" s="446" t="s">
        <v>131</v>
      </c>
      <c r="G35" s="444">
        <f>108524-15910</f>
        <v>92614</v>
      </c>
      <c r="H35" s="93">
        <v>92614</v>
      </c>
      <c r="I35" s="94">
        <v>0</v>
      </c>
      <c r="J35" s="95">
        <v>0</v>
      </c>
      <c r="K35" s="95">
        <v>92614</v>
      </c>
      <c r="L35" s="95">
        <v>0</v>
      </c>
    </row>
    <row r="36" spans="1:12" ht="12.75">
      <c r="A36" s="696"/>
      <c r="B36" s="696"/>
      <c r="C36" s="696"/>
      <c r="D36" s="424">
        <v>1</v>
      </c>
      <c r="E36" s="425" t="s">
        <v>483</v>
      </c>
      <c r="F36" s="447"/>
      <c r="G36" s="448"/>
      <c r="H36" s="96"/>
      <c r="I36" s="97"/>
      <c r="J36" s="98"/>
      <c r="K36" s="98"/>
      <c r="L36" s="98"/>
    </row>
    <row r="37" spans="1:12" ht="12.75">
      <c r="A37" s="696"/>
      <c r="B37" s="696"/>
      <c r="C37" s="696"/>
      <c r="D37" s="424">
        <v>2</v>
      </c>
      <c r="E37" s="425" t="s">
        <v>484</v>
      </c>
      <c r="F37" s="447"/>
      <c r="G37" s="448"/>
      <c r="H37" s="96"/>
      <c r="I37" s="97"/>
      <c r="J37" s="98"/>
      <c r="K37" s="98"/>
      <c r="L37" s="98"/>
    </row>
    <row r="38" spans="1:12" ht="13.5" customHeight="1">
      <c r="A38" s="696"/>
      <c r="B38" s="696"/>
      <c r="C38" s="696"/>
      <c r="D38" s="424">
        <v>3</v>
      </c>
      <c r="E38" s="500" t="s">
        <v>328</v>
      </c>
      <c r="F38" s="447"/>
      <c r="G38" s="448"/>
      <c r="H38" s="96"/>
      <c r="I38" s="97"/>
      <c r="J38" s="98"/>
      <c r="K38" s="98"/>
      <c r="L38" s="98"/>
    </row>
    <row r="39" spans="1:12" ht="13.5" customHeight="1">
      <c r="A39" s="696"/>
      <c r="B39" s="696"/>
      <c r="C39" s="696"/>
      <c r="D39" s="424">
        <v>4</v>
      </c>
      <c r="E39" s="498" t="s">
        <v>168</v>
      </c>
      <c r="F39" s="447"/>
      <c r="G39" s="448"/>
      <c r="H39" s="96"/>
      <c r="I39" s="97"/>
      <c r="J39" s="98"/>
      <c r="K39" s="98"/>
      <c r="L39" s="98"/>
    </row>
    <row r="40" spans="1:12" ht="13.5" customHeight="1">
      <c r="A40" s="696"/>
      <c r="B40" s="696"/>
      <c r="C40" s="696"/>
      <c r="D40" s="424">
        <v>5</v>
      </c>
      <c r="E40" s="498" t="s">
        <v>329</v>
      </c>
      <c r="F40" s="447"/>
      <c r="G40" s="448"/>
      <c r="H40" s="96"/>
      <c r="I40" s="97"/>
      <c r="J40" s="98"/>
      <c r="K40" s="98"/>
      <c r="L40" s="98"/>
    </row>
    <row r="41" spans="1:12" ht="11.25" customHeight="1">
      <c r="A41" s="696"/>
      <c r="B41" s="696"/>
      <c r="C41" s="696"/>
      <c r="D41" s="424">
        <v>6</v>
      </c>
      <c r="E41" s="425" t="s">
        <v>304</v>
      </c>
      <c r="F41" s="447"/>
      <c r="G41" s="448"/>
      <c r="H41" s="96"/>
      <c r="I41" s="97"/>
      <c r="J41" s="98"/>
      <c r="K41" s="98"/>
      <c r="L41" s="98"/>
    </row>
    <row r="42" spans="1:12" ht="10.5" customHeight="1">
      <c r="A42" s="693"/>
      <c r="B42" s="693"/>
      <c r="C42" s="693"/>
      <c r="D42" s="424">
        <v>7</v>
      </c>
      <c r="E42" s="425" t="s">
        <v>443</v>
      </c>
      <c r="F42" s="445"/>
      <c r="G42" s="450"/>
      <c r="H42" s="99"/>
      <c r="I42" s="100"/>
      <c r="J42" s="101"/>
      <c r="K42" s="101"/>
      <c r="L42" s="101"/>
    </row>
    <row r="43" spans="1:12" ht="21" customHeight="1">
      <c r="A43" s="150">
        <v>852</v>
      </c>
      <c r="B43" s="150">
        <v>85204</v>
      </c>
      <c r="C43" s="150">
        <v>2310</v>
      </c>
      <c r="D43" s="697" t="s">
        <v>516</v>
      </c>
      <c r="E43" s="690"/>
      <c r="F43" s="444">
        <v>3734</v>
      </c>
      <c r="G43" s="444" t="s">
        <v>131</v>
      </c>
      <c r="H43" s="108" t="s">
        <v>131</v>
      </c>
      <c r="I43" s="111" t="s">
        <v>131</v>
      </c>
      <c r="J43" s="112" t="s">
        <v>131</v>
      </c>
      <c r="K43" s="112" t="s">
        <v>131</v>
      </c>
      <c r="L43" s="112" t="s">
        <v>131</v>
      </c>
    </row>
    <row r="44" spans="1:12" ht="12.75">
      <c r="A44" s="151"/>
      <c r="B44" s="151"/>
      <c r="C44" s="151"/>
      <c r="D44" s="426">
        <v>1</v>
      </c>
      <c r="E44" s="420" t="s">
        <v>482</v>
      </c>
      <c r="F44" s="445"/>
      <c r="G44" s="445"/>
      <c r="H44" s="99"/>
      <c r="I44" s="100"/>
      <c r="J44" s="101"/>
      <c r="K44" s="101"/>
      <c r="L44" s="101"/>
    </row>
    <row r="45" spans="1:12" ht="21" customHeight="1">
      <c r="A45" s="692">
        <v>852</v>
      </c>
      <c r="B45" s="692">
        <v>85204</v>
      </c>
      <c r="C45" s="692">
        <v>2320</v>
      </c>
      <c r="D45" s="697" t="s">
        <v>516</v>
      </c>
      <c r="E45" s="690"/>
      <c r="F45" s="444">
        <v>133659</v>
      </c>
      <c r="G45" s="444" t="s">
        <v>131</v>
      </c>
      <c r="H45" s="108" t="s">
        <v>131</v>
      </c>
      <c r="I45" s="111" t="s">
        <v>131</v>
      </c>
      <c r="J45" s="112" t="s">
        <v>131</v>
      </c>
      <c r="K45" s="112" t="s">
        <v>131</v>
      </c>
      <c r="L45" s="112" t="s">
        <v>131</v>
      </c>
    </row>
    <row r="46" spans="1:12" ht="12.75">
      <c r="A46" s="696"/>
      <c r="B46" s="696"/>
      <c r="C46" s="696"/>
      <c r="D46" s="426">
        <v>1</v>
      </c>
      <c r="E46" s="420" t="s">
        <v>142</v>
      </c>
      <c r="F46" s="447"/>
      <c r="G46" s="447"/>
      <c r="H46" s="96"/>
      <c r="I46" s="97"/>
      <c r="J46" s="98"/>
      <c r="K46" s="98"/>
      <c r="L46" s="98"/>
    </row>
    <row r="47" spans="1:12" ht="12.75">
      <c r="A47" s="696"/>
      <c r="B47" s="696"/>
      <c r="C47" s="696"/>
      <c r="D47" s="426">
        <v>2</v>
      </c>
      <c r="E47" s="420" t="s">
        <v>468</v>
      </c>
      <c r="F47" s="447"/>
      <c r="G47" s="447"/>
      <c r="H47" s="96"/>
      <c r="I47" s="97"/>
      <c r="J47" s="98"/>
      <c r="K47" s="98"/>
      <c r="L47" s="98"/>
    </row>
    <row r="48" spans="1:12" ht="12.75">
      <c r="A48" s="696"/>
      <c r="B48" s="696"/>
      <c r="C48" s="696"/>
      <c r="D48" s="426">
        <v>3</v>
      </c>
      <c r="E48" s="420" t="s">
        <v>143</v>
      </c>
      <c r="F48" s="447"/>
      <c r="G48" s="447"/>
      <c r="H48" s="96"/>
      <c r="I48" s="97"/>
      <c r="J48" s="98"/>
      <c r="K48" s="98"/>
      <c r="L48" s="98"/>
    </row>
    <row r="49" spans="1:12" ht="12.75">
      <c r="A49" s="696"/>
      <c r="B49" s="696"/>
      <c r="C49" s="696"/>
      <c r="D49" s="426">
        <v>4</v>
      </c>
      <c r="E49" s="420" t="s">
        <v>144</v>
      </c>
      <c r="F49" s="447"/>
      <c r="G49" s="447"/>
      <c r="H49" s="96"/>
      <c r="I49" s="97"/>
      <c r="J49" s="98"/>
      <c r="K49" s="98"/>
      <c r="L49" s="98"/>
    </row>
    <row r="50" spans="1:12" ht="12.75">
      <c r="A50" s="693"/>
      <c r="B50" s="693"/>
      <c r="C50" s="693"/>
      <c r="D50" s="426">
        <v>5</v>
      </c>
      <c r="E50" s="420" t="s">
        <v>145</v>
      </c>
      <c r="F50" s="445"/>
      <c r="G50" s="445"/>
      <c r="H50" s="99"/>
      <c r="I50" s="100"/>
      <c r="J50" s="101"/>
      <c r="K50" s="101"/>
      <c r="L50" s="101"/>
    </row>
    <row r="51" spans="1:12" ht="22.5" customHeight="1">
      <c r="A51" s="151">
        <v>921</v>
      </c>
      <c r="B51" s="151">
        <v>92116</v>
      </c>
      <c r="C51" s="151">
        <v>2310</v>
      </c>
      <c r="D51" s="688" t="s">
        <v>494</v>
      </c>
      <c r="E51" s="688"/>
      <c r="F51" s="180" t="s">
        <v>131</v>
      </c>
      <c r="G51" s="449">
        <v>54000</v>
      </c>
      <c r="H51" s="180">
        <v>54000</v>
      </c>
      <c r="I51" s="180">
        <v>0</v>
      </c>
      <c r="J51" s="180">
        <v>0</v>
      </c>
      <c r="K51" s="180">
        <v>54000</v>
      </c>
      <c r="L51" s="180">
        <v>0</v>
      </c>
    </row>
    <row r="52" spans="1:12" ht="15.75">
      <c r="A52" s="689" t="s">
        <v>126</v>
      </c>
      <c r="B52" s="689"/>
      <c r="C52" s="689"/>
      <c r="D52" s="689"/>
      <c r="E52" s="689"/>
      <c r="F52" s="146">
        <f aca="true" t="shared" si="0" ref="F52:L52">SUM(F12:F51)</f>
        <v>255185</v>
      </c>
      <c r="G52" s="146">
        <f t="shared" si="0"/>
        <v>1025366</v>
      </c>
      <c r="H52" s="146">
        <f t="shared" si="0"/>
        <v>1025366</v>
      </c>
      <c r="I52" s="146">
        <f t="shared" si="0"/>
        <v>0</v>
      </c>
      <c r="J52" s="146">
        <f t="shared" si="0"/>
        <v>0</v>
      </c>
      <c r="K52" s="146">
        <f t="shared" si="0"/>
        <v>1025366</v>
      </c>
      <c r="L52" s="146">
        <f t="shared" si="0"/>
        <v>0</v>
      </c>
    </row>
  </sheetData>
  <mergeCells count="56">
    <mergeCell ref="A18:A19"/>
    <mergeCell ref="B18:B19"/>
    <mergeCell ref="D19:E19"/>
    <mergeCell ref="D24:E24"/>
    <mergeCell ref="D22:E22"/>
    <mergeCell ref="D23:E23"/>
    <mergeCell ref="D15:E15"/>
    <mergeCell ref="D16:E16"/>
    <mergeCell ref="D17:E17"/>
    <mergeCell ref="D21:E21"/>
    <mergeCell ref="D20:E20"/>
    <mergeCell ref="D11:E11"/>
    <mergeCell ref="D12:E12"/>
    <mergeCell ref="D13:E13"/>
    <mergeCell ref="D14:E14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27:E27"/>
    <mergeCell ref="D25:E25"/>
    <mergeCell ref="D26:E26"/>
    <mergeCell ref="A5:L5"/>
    <mergeCell ref="A6:L6"/>
    <mergeCell ref="A12:A17"/>
    <mergeCell ref="B12:B17"/>
    <mergeCell ref="C12:C17"/>
    <mergeCell ref="H8:L8"/>
    <mergeCell ref="I9:K9"/>
    <mergeCell ref="A29:A30"/>
    <mergeCell ref="B29:B30"/>
    <mergeCell ref="C29:C30"/>
    <mergeCell ref="D29:E29"/>
    <mergeCell ref="D45:E45"/>
    <mergeCell ref="D33:E33"/>
    <mergeCell ref="D34:E34"/>
    <mergeCell ref="A35:A42"/>
    <mergeCell ref="B35:B42"/>
    <mergeCell ref="C35:C42"/>
    <mergeCell ref="D35:E35"/>
    <mergeCell ref="D43:E43"/>
    <mergeCell ref="D51:E51"/>
    <mergeCell ref="A52:E52"/>
    <mergeCell ref="D18:E18"/>
    <mergeCell ref="A31:A32"/>
    <mergeCell ref="B31:B32"/>
    <mergeCell ref="C31:C32"/>
    <mergeCell ref="D31:E31"/>
    <mergeCell ref="A45:A50"/>
    <mergeCell ref="B45:B50"/>
    <mergeCell ref="C45:C50"/>
  </mergeCells>
  <printOptions/>
  <pageMargins left="0.77" right="0.61" top="0.97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L32"/>
  <sheetViews>
    <sheetView zoomScale="95" zoomScaleNormal="95" workbookViewId="0" topLeftCell="A1">
      <selection activeCell="G17" sqref="G17"/>
    </sheetView>
  </sheetViews>
  <sheetFormatPr defaultColWidth="9.00390625" defaultRowHeight="12.75"/>
  <cols>
    <col min="1" max="1" width="3.375" style="18" customWidth="1"/>
    <col min="2" max="2" width="36.875" style="18" customWidth="1"/>
    <col min="3" max="3" width="12.625" style="18" customWidth="1"/>
    <col min="4" max="4" width="12.375" style="18" customWidth="1"/>
    <col min="5" max="7" width="11.00390625" style="18" customWidth="1"/>
    <col min="8" max="8" width="12.25390625" style="18" customWidth="1"/>
    <col min="9" max="9" width="9.25390625" style="18" customWidth="1"/>
    <col min="10" max="10" width="8.00390625" style="18" customWidth="1"/>
    <col min="11" max="11" width="4.25390625" style="18" customWidth="1"/>
    <col min="12" max="12" width="13.75390625" style="18" customWidth="1"/>
    <col min="13" max="16384" width="9.125" style="18" customWidth="1"/>
  </cols>
  <sheetData>
    <row r="1" spans="4:12" ht="13.5" customHeight="1">
      <c r="D1" s="75"/>
      <c r="E1" s="76"/>
      <c r="F1" s="76"/>
      <c r="G1" s="76"/>
      <c r="H1" s="77"/>
      <c r="L1" s="373" t="s">
        <v>96</v>
      </c>
    </row>
    <row r="2" spans="4:12" ht="15" customHeight="1">
      <c r="D2" s="78"/>
      <c r="E2" s="77"/>
      <c r="F2" s="77"/>
      <c r="G2" s="77"/>
      <c r="H2" s="76"/>
      <c r="L2" s="373" t="s">
        <v>195</v>
      </c>
    </row>
    <row r="3" spans="4:12" ht="13.5" customHeight="1">
      <c r="D3" s="78"/>
      <c r="E3" s="77"/>
      <c r="F3" s="77"/>
      <c r="G3" s="77"/>
      <c r="H3" s="76"/>
      <c r="I3" s="19"/>
      <c r="J3" s="20"/>
      <c r="L3" s="373" t="s">
        <v>194</v>
      </c>
    </row>
    <row r="4" spans="4:10" ht="4.5" customHeight="1">
      <c r="D4" s="78"/>
      <c r="E4" s="77"/>
      <c r="F4" s="77"/>
      <c r="G4" s="77"/>
      <c r="H4" s="76"/>
      <c r="I4" s="19"/>
      <c r="J4" s="20"/>
    </row>
    <row r="5" spans="1:12" ht="16.5" customHeight="1">
      <c r="A5" s="724" t="s">
        <v>282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</row>
    <row r="6" spans="1:12" ht="16.5" customHeight="1">
      <c r="A6" s="724" t="s">
        <v>296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</row>
    <row r="7" spans="2:12" ht="12.75" customHeight="1">
      <c r="B7" s="21"/>
      <c r="I7" s="79"/>
      <c r="J7" s="79"/>
      <c r="L7" s="79" t="s">
        <v>119</v>
      </c>
    </row>
    <row r="8" spans="1:12" s="113" customFormat="1" ht="15.75" customHeight="1">
      <c r="A8" s="685" t="s">
        <v>123</v>
      </c>
      <c r="B8" s="701" t="s">
        <v>55</v>
      </c>
      <c r="C8" s="685" t="s">
        <v>520</v>
      </c>
      <c r="D8" s="567" t="s">
        <v>30</v>
      </c>
      <c r="E8" s="734"/>
      <c r="F8" s="734"/>
      <c r="G8" s="568"/>
      <c r="H8" s="594" t="s">
        <v>64</v>
      </c>
      <c r="I8" s="594"/>
      <c r="J8" s="728" t="s">
        <v>278</v>
      </c>
      <c r="K8" s="729"/>
      <c r="L8" s="685" t="s">
        <v>322</v>
      </c>
    </row>
    <row r="9" spans="1:12" s="113" customFormat="1" ht="11.25" customHeight="1">
      <c r="A9" s="686"/>
      <c r="B9" s="702"/>
      <c r="C9" s="686"/>
      <c r="D9" s="685" t="s">
        <v>127</v>
      </c>
      <c r="E9" s="567" t="s">
        <v>241</v>
      </c>
      <c r="F9" s="734"/>
      <c r="G9" s="568"/>
      <c r="H9" s="149"/>
      <c r="I9" s="149"/>
      <c r="J9" s="730"/>
      <c r="K9" s="731"/>
      <c r="L9" s="686"/>
    </row>
    <row r="10" spans="1:12" s="135" customFormat="1" ht="11.25" customHeight="1">
      <c r="A10" s="686"/>
      <c r="B10" s="702"/>
      <c r="C10" s="686"/>
      <c r="D10" s="686"/>
      <c r="E10" s="725" t="s">
        <v>128</v>
      </c>
      <c r="F10" s="722" t="s">
        <v>241</v>
      </c>
      <c r="G10" s="723"/>
      <c r="H10" s="685" t="s">
        <v>127</v>
      </c>
      <c r="I10" s="725" t="s">
        <v>129</v>
      </c>
      <c r="J10" s="730"/>
      <c r="K10" s="731"/>
      <c r="L10" s="686"/>
    </row>
    <row r="11" spans="1:12" s="135" customFormat="1" ht="20.25" customHeight="1">
      <c r="A11" s="687"/>
      <c r="B11" s="702"/>
      <c r="C11" s="686"/>
      <c r="D11" s="686"/>
      <c r="E11" s="726"/>
      <c r="F11" s="263" t="s">
        <v>279</v>
      </c>
      <c r="G11" s="263" t="s">
        <v>280</v>
      </c>
      <c r="H11" s="687"/>
      <c r="I11" s="727"/>
      <c r="J11" s="732"/>
      <c r="K11" s="733"/>
      <c r="L11" s="687"/>
    </row>
    <row r="12" spans="1:12" s="113" customFormat="1" ht="12.75" customHeight="1">
      <c r="A12" s="260">
        <v>1</v>
      </c>
      <c r="B12" s="260">
        <v>2</v>
      </c>
      <c r="C12" s="260">
        <v>3</v>
      </c>
      <c r="D12" s="260">
        <v>4</v>
      </c>
      <c r="E12" s="260">
        <v>5</v>
      </c>
      <c r="F12" s="260">
        <v>6</v>
      </c>
      <c r="G12" s="260">
        <v>7</v>
      </c>
      <c r="H12" s="260">
        <v>8</v>
      </c>
      <c r="I12" s="260">
        <v>9</v>
      </c>
      <c r="J12" s="722">
        <v>10</v>
      </c>
      <c r="K12" s="723"/>
      <c r="L12" s="260">
        <v>11</v>
      </c>
    </row>
    <row r="13" spans="1:12" s="136" customFormat="1" ht="18.75" customHeight="1">
      <c r="A13" s="153" t="s">
        <v>130</v>
      </c>
      <c r="B13" s="261" t="s">
        <v>133</v>
      </c>
      <c r="C13" s="250">
        <f aca="true" t="shared" si="0" ref="C13:I13">SUM(C14:C16)</f>
        <v>1231068</v>
      </c>
      <c r="D13" s="250">
        <f t="shared" si="0"/>
        <v>3572400</v>
      </c>
      <c r="E13" s="250">
        <f t="shared" si="0"/>
        <v>0</v>
      </c>
      <c r="F13" s="250">
        <f t="shared" si="0"/>
        <v>0</v>
      </c>
      <c r="G13" s="250">
        <f t="shared" si="0"/>
        <v>0</v>
      </c>
      <c r="H13" s="250">
        <f t="shared" si="0"/>
        <v>3570041</v>
      </c>
      <c r="I13" s="250">
        <f t="shared" si="0"/>
        <v>2359</v>
      </c>
      <c r="J13" s="717">
        <f>C13+D13-H13</f>
        <v>1233427</v>
      </c>
      <c r="K13" s="717"/>
      <c r="L13" s="250">
        <f>SUM(L14:L16)</f>
        <v>299315</v>
      </c>
    </row>
    <row r="14" spans="1:12" s="113" customFormat="1" ht="24">
      <c r="A14" s="260" t="s">
        <v>67</v>
      </c>
      <c r="B14" s="409" t="s">
        <v>134</v>
      </c>
      <c r="C14" s="258">
        <v>1055105</v>
      </c>
      <c r="D14" s="258">
        <v>980000</v>
      </c>
      <c r="E14" s="258">
        <v>0</v>
      </c>
      <c r="F14" s="258">
        <v>0</v>
      </c>
      <c r="G14" s="258">
        <v>0</v>
      </c>
      <c r="H14" s="258">
        <f>976072+1964</f>
        <v>978036</v>
      </c>
      <c r="I14" s="258">
        <v>1964</v>
      </c>
      <c r="J14" s="718">
        <f>SUM(C14+D14-H14)</f>
        <v>1057069</v>
      </c>
      <c r="K14" s="719"/>
      <c r="L14" s="410">
        <v>424</v>
      </c>
    </row>
    <row r="15" spans="1:12" s="113" customFormat="1" ht="24">
      <c r="A15" s="260" t="s">
        <v>68</v>
      </c>
      <c r="B15" s="409" t="s">
        <v>135</v>
      </c>
      <c r="C15" s="258">
        <v>152215</v>
      </c>
      <c r="D15" s="258">
        <v>2494400</v>
      </c>
      <c r="E15" s="258">
        <v>0</v>
      </c>
      <c r="F15" s="258">
        <v>0</v>
      </c>
      <c r="G15" s="258">
        <v>0</v>
      </c>
      <c r="H15" s="258">
        <v>2494400</v>
      </c>
      <c r="I15" s="258">
        <v>0</v>
      </c>
      <c r="J15" s="718">
        <f>SUM(C15+D15-H15)</f>
        <v>152215</v>
      </c>
      <c r="K15" s="719"/>
      <c r="L15" s="258">
        <v>282594</v>
      </c>
    </row>
    <row r="16" spans="1:12" s="113" customFormat="1" ht="24">
      <c r="A16" s="260" t="s">
        <v>69</v>
      </c>
      <c r="B16" s="409" t="s">
        <v>138</v>
      </c>
      <c r="C16" s="258">
        <v>23748</v>
      </c>
      <c r="D16" s="258">
        <v>98000</v>
      </c>
      <c r="E16" s="258">
        <v>0</v>
      </c>
      <c r="F16" s="258">
        <v>0</v>
      </c>
      <c r="G16" s="258">
        <v>0</v>
      </c>
      <c r="H16" s="258">
        <f>92210+395+5000</f>
        <v>97605</v>
      </c>
      <c r="I16" s="258">
        <v>395</v>
      </c>
      <c r="J16" s="718">
        <f>SUM(C16+D16-H16)</f>
        <v>24143</v>
      </c>
      <c r="K16" s="719"/>
      <c r="L16" s="258">
        <v>16297</v>
      </c>
    </row>
    <row r="17" spans="1:12" s="137" customFormat="1" ht="19.5" customHeight="1">
      <c r="A17" s="154" t="s">
        <v>132</v>
      </c>
      <c r="B17" s="262" t="s">
        <v>234</v>
      </c>
      <c r="C17" s="146">
        <f aca="true" t="shared" si="1" ref="C17:I17">SUM(C18:C27)</f>
        <v>197918</v>
      </c>
      <c r="D17" s="146">
        <f>SUM(D18:D27)</f>
        <v>981129</v>
      </c>
      <c r="E17" s="146">
        <f t="shared" si="1"/>
        <v>0</v>
      </c>
      <c r="F17" s="146">
        <f t="shared" si="1"/>
        <v>0</v>
      </c>
      <c r="G17" s="146">
        <f t="shared" si="1"/>
        <v>0</v>
      </c>
      <c r="H17" s="146">
        <f t="shared" si="1"/>
        <v>1037547</v>
      </c>
      <c r="I17" s="146">
        <f t="shared" si="1"/>
        <v>0</v>
      </c>
      <c r="J17" s="720">
        <f>SUM(J18:K27)</f>
        <v>141500</v>
      </c>
      <c r="K17" s="721"/>
      <c r="L17" s="146">
        <f>SUM(L18:L27)</f>
        <v>0</v>
      </c>
    </row>
    <row r="18" spans="1:12" s="138" customFormat="1" ht="18" customHeight="1">
      <c r="A18" s="504" t="s">
        <v>67</v>
      </c>
      <c r="B18" s="505" t="s">
        <v>139</v>
      </c>
      <c r="C18" s="411">
        <v>6636</v>
      </c>
      <c r="D18" s="412">
        <v>88880</v>
      </c>
      <c r="E18" s="411">
        <v>0</v>
      </c>
      <c r="F18" s="411">
        <v>0</v>
      </c>
      <c r="G18" s="411">
        <v>0</v>
      </c>
      <c r="H18" s="413">
        <v>95516</v>
      </c>
      <c r="I18" s="411">
        <v>0</v>
      </c>
      <c r="J18" s="718">
        <f aca="true" t="shared" si="2" ref="J18:J27">C18+D18-H18</f>
        <v>0</v>
      </c>
      <c r="K18" s="719"/>
      <c r="L18" s="414">
        <v>0</v>
      </c>
    </row>
    <row r="19" spans="1:12" s="138" customFormat="1" ht="24" customHeight="1">
      <c r="A19" s="504" t="s">
        <v>68</v>
      </c>
      <c r="B19" s="506" t="s">
        <v>444</v>
      </c>
      <c r="C19" s="411">
        <v>0</v>
      </c>
      <c r="D19" s="412">
        <v>12022</v>
      </c>
      <c r="E19" s="411">
        <v>0</v>
      </c>
      <c r="F19" s="411">
        <v>0</v>
      </c>
      <c r="G19" s="411">
        <v>0</v>
      </c>
      <c r="H19" s="413">
        <v>12022</v>
      </c>
      <c r="I19" s="411">
        <v>0</v>
      </c>
      <c r="J19" s="718">
        <f t="shared" si="2"/>
        <v>0</v>
      </c>
      <c r="K19" s="719"/>
      <c r="L19" s="414">
        <v>0</v>
      </c>
    </row>
    <row r="20" spans="1:12" s="138" customFormat="1" ht="18" customHeight="1">
      <c r="A20" s="504" t="s">
        <v>69</v>
      </c>
      <c r="B20" s="507" t="s">
        <v>140</v>
      </c>
      <c r="C20" s="258">
        <v>33454</v>
      </c>
      <c r="D20" s="412">
        <v>60702</v>
      </c>
      <c r="E20" s="415">
        <v>0</v>
      </c>
      <c r="F20" s="415">
        <v>0</v>
      </c>
      <c r="G20" s="415">
        <v>0</v>
      </c>
      <c r="H20" s="412">
        <v>67902</v>
      </c>
      <c r="I20" s="415">
        <v>0</v>
      </c>
      <c r="J20" s="718">
        <f t="shared" si="2"/>
        <v>26254</v>
      </c>
      <c r="K20" s="719"/>
      <c r="L20" s="508">
        <v>0</v>
      </c>
    </row>
    <row r="21" spans="1:12" s="113" customFormat="1" ht="25.5" customHeight="1">
      <c r="A21" s="504" t="s">
        <v>56</v>
      </c>
      <c r="B21" s="409" t="s">
        <v>281</v>
      </c>
      <c r="C21" s="258">
        <v>13062</v>
      </c>
      <c r="D21" s="415">
        <v>99000</v>
      </c>
      <c r="E21" s="258">
        <v>0</v>
      </c>
      <c r="F21" s="258">
        <v>0</v>
      </c>
      <c r="G21" s="258">
        <v>0</v>
      </c>
      <c r="H21" s="258">
        <v>99000</v>
      </c>
      <c r="I21" s="258">
        <v>0</v>
      </c>
      <c r="J21" s="718">
        <f t="shared" si="2"/>
        <v>13062</v>
      </c>
      <c r="K21" s="719"/>
      <c r="L21" s="416">
        <v>0</v>
      </c>
    </row>
    <row r="22" spans="1:12" s="113" customFormat="1" ht="18.75" customHeight="1">
      <c r="A22" s="504" t="s">
        <v>74</v>
      </c>
      <c r="B22" s="409" t="s">
        <v>141</v>
      </c>
      <c r="C22" s="258">
        <v>19590</v>
      </c>
      <c r="D22" s="415">
        <v>330000</v>
      </c>
      <c r="E22" s="258">
        <v>0</v>
      </c>
      <c r="F22" s="258">
        <v>0</v>
      </c>
      <c r="G22" s="258">
        <v>0</v>
      </c>
      <c r="H22" s="258">
        <v>349329</v>
      </c>
      <c r="I22" s="258">
        <v>0</v>
      </c>
      <c r="J22" s="718">
        <f t="shared" si="2"/>
        <v>261</v>
      </c>
      <c r="K22" s="719"/>
      <c r="L22" s="416">
        <v>0</v>
      </c>
    </row>
    <row r="23" spans="1:12" s="113" customFormat="1" ht="25.5" customHeight="1">
      <c r="A23" s="504" t="s">
        <v>78</v>
      </c>
      <c r="B23" s="409" t="s">
        <v>154</v>
      </c>
      <c r="C23" s="258">
        <v>16812</v>
      </c>
      <c r="D23" s="415">
        <v>125148</v>
      </c>
      <c r="E23" s="258">
        <v>0</v>
      </c>
      <c r="F23" s="258">
        <v>0</v>
      </c>
      <c r="G23" s="258">
        <v>0</v>
      </c>
      <c r="H23" s="258">
        <v>141960</v>
      </c>
      <c r="I23" s="258">
        <v>0</v>
      </c>
      <c r="J23" s="718">
        <f t="shared" si="2"/>
        <v>0</v>
      </c>
      <c r="K23" s="719"/>
      <c r="L23" s="416">
        <v>0</v>
      </c>
    </row>
    <row r="24" spans="1:12" s="113" customFormat="1" ht="20.25" customHeight="1">
      <c r="A24" s="504" t="s">
        <v>86</v>
      </c>
      <c r="B24" s="409" t="s">
        <v>155</v>
      </c>
      <c r="C24" s="258">
        <v>61698</v>
      </c>
      <c r="D24" s="258">
        <v>10000</v>
      </c>
      <c r="E24" s="258">
        <v>0</v>
      </c>
      <c r="F24" s="258">
        <v>0</v>
      </c>
      <c r="G24" s="258">
        <v>0</v>
      </c>
      <c r="H24" s="258">
        <v>58000</v>
      </c>
      <c r="I24" s="258">
        <v>0</v>
      </c>
      <c r="J24" s="718">
        <f t="shared" si="2"/>
        <v>13698</v>
      </c>
      <c r="K24" s="719"/>
      <c r="L24" s="416">
        <v>0</v>
      </c>
    </row>
    <row r="25" spans="1:12" s="113" customFormat="1" ht="20.25" customHeight="1">
      <c r="A25" s="504" t="s">
        <v>89</v>
      </c>
      <c r="B25" s="409" t="s">
        <v>157</v>
      </c>
      <c r="C25" s="258">
        <v>33738</v>
      </c>
      <c r="D25" s="415">
        <v>238910</v>
      </c>
      <c r="E25" s="258">
        <v>0</v>
      </c>
      <c r="F25" s="258">
        <v>0</v>
      </c>
      <c r="G25" s="258">
        <v>0</v>
      </c>
      <c r="H25" s="258">
        <v>197351</v>
      </c>
      <c r="I25" s="258">
        <v>0</v>
      </c>
      <c r="J25" s="718">
        <f t="shared" si="2"/>
        <v>75297</v>
      </c>
      <c r="K25" s="719"/>
      <c r="L25" s="416">
        <v>0</v>
      </c>
    </row>
    <row r="26" spans="1:12" s="113" customFormat="1" ht="20.25" customHeight="1">
      <c r="A26" s="504" t="s">
        <v>156</v>
      </c>
      <c r="B26" s="409" t="s">
        <v>159</v>
      </c>
      <c r="C26" s="258">
        <v>10278</v>
      </c>
      <c r="D26" s="415">
        <f>74527-68320</f>
        <v>6207</v>
      </c>
      <c r="E26" s="258">
        <v>0</v>
      </c>
      <c r="F26" s="258">
        <v>0</v>
      </c>
      <c r="G26" s="258">
        <v>0</v>
      </c>
      <c r="H26" s="258">
        <f>74527-68320</f>
        <v>6207</v>
      </c>
      <c r="I26" s="258">
        <v>0</v>
      </c>
      <c r="J26" s="718">
        <f t="shared" si="2"/>
        <v>10278</v>
      </c>
      <c r="K26" s="719"/>
      <c r="L26" s="416">
        <v>0</v>
      </c>
    </row>
    <row r="27" spans="1:12" s="139" customFormat="1" ht="24" customHeight="1">
      <c r="A27" s="504" t="s">
        <v>158</v>
      </c>
      <c r="B27" s="30" t="s">
        <v>283</v>
      </c>
      <c r="C27" s="258">
        <v>2650</v>
      </c>
      <c r="D27" s="415">
        <v>10260</v>
      </c>
      <c r="E27" s="258">
        <v>0</v>
      </c>
      <c r="F27" s="258">
        <v>0</v>
      </c>
      <c r="G27" s="258">
        <v>0</v>
      </c>
      <c r="H27" s="258">
        <v>10260</v>
      </c>
      <c r="I27" s="258">
        <v>0</v>
      </c>
      <c r="J27" s="718">
        <f t="shared" si="2"/>
        <v>2650</v>
      </c>
      <c r="K27" s="719"/>
      <c r="L27" s="416">
        <v>0</v>
      </c>
    </row>
    <row r="28" spans="1:12" s="28" customFormat="1" ht="20.25" customHeight="1">
      <c r="A28" s="716" t="s">
        <v>31</v>
      </c>
      <c r="B28" s="716"/>
      <c r="C28" s="146">
        <f aca="true" t="shared" si="3" ref="C28:I28">SUM(C17,C13)</f>
        <v>1428986</v>
      </c>
      <c r="D28" s="146">
        <f t="shared" si="3"/>
        <v>4553529</v>
      </c>
      <c r="E28" s="146">
        <f t="shared" si="3"/>
        <v>0</v>
      </c>
      <c r="F28" s="146">
        <f t="shared" si="3"/>
        <v>0</v>
      </c>
      <c r="G28" s="146">
        <f t="shared" si="3"/>
        <v>0</v>
      </c>
      <c r="H28" s="146">
        <f t="shared" si="3"/>
        <v>4607588</v>
      </c>
      <c r="I28" s="146">
        <f t="shared" si="3"/>
        <v>2359</v>
      </c>
      <c r="J28" s="717">
        <f>SUM(J13,J17)</f>
        <v>1374927</v>
      </c>
      <c r="K28" s="717"/>
      <c r="L28" s="146">
        <f>SUM(L17,L13)</f>
        <v>299315</v>
      </c>
    </row>
    <row r="29" ht="8.25" customHeight="1"/>
    <row r="30" spans="1:7" ht="12.75">
      <c r="A30" s="85" t="s">
        <v>522</v>
      </c>
      <c r="D30" s="23"/>
      <c r="E30" s="23"/>
      <c r="F30" s="23"/>
      <c r="G30" s="23"/>
    </row>
    <row r="31" spans="1:7" s="22" customFormat="1" ht="11.25">
      <c r="A31" s="22" t="s">
        <v>521</v>
      </c>
      <c r="E31" s="102"/>
      <c r="F31" s="102"/>
      <c r="G31" s="102"/>
    </row>
    <row r="32" spans="1:7" s="22" customFormat="1" ht="11.25">
      <c r="A32" s="22" t="s">
        <v>523</v>
      </c>
      <c r="E32" s="102"/>
      <c r="F32" s="102"/>
      <c r="G32" s="102"/>
    </row>
  </sheetData>
  <mergeCells count="33">
    <mergeCell ref="B8:B11"/>
    <mergeCell ref="C8:C11"/>
    <mergeCell ref="D9:D11"/>
    <mergeCell ref="D8:G8"/>
    <mergeCell ref="E9:G9"/>
    <mergeCell ref="F10:G10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J16:K16"/>
    <mergeCell ref="J27:K27"/>
    <mergeCell ref="J21:K21"/>
    <mergeCell ref="J22:K22"/>
    <mergeCell ref="J23:K23"/>
    <mergeCell ref="J24:K24"/>
    <mergeCell ref="J19:K19"/>
    <mergeCell ref="A28:B28"/>
    <mergeCell ref="J28:K28"/>
    <mergeCell ref="J13:K13"/>
    <mergeCell ref="J14:K14"/>
    <mergeCell ref="J15:K15"/>
    <mergeCell ref="J17:K17"/>
    <mergeCell ref="J18:K18"/>
    <mergeCell ref="J20:K20"/>
    <mergeCell ref="J25:K25"/>
    <mergeCell ref="J26:K26"/>
  </mergeCells>
  <printOptions/>
  <pageMargins left="0.28" right="0.18" top="0.54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G24"/>
  <sheetViews>
    <sheetView workbookViewId="0" topLeftCell="A1">
      <selection activeCell="G19" sqref="G19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  <col min="7" max="7" width="11.25390625" style="0" bestFit="1" customWidth="1"/>
  </cols>
  <sheetData>
    <row r="1" spans="4:6" ht="12.75">
      <c r="D1" s="44"/>
      <c r="E1" s="44" t="s">
        <v>284</v>
      </c>
      <c r="F1" s="44"/>
    </row>
    <row r="2" spans="4:6" ht="14.25">
      <c r="D2" s="43"/>
      <c r="E2" s="43" t="s">
        <v>323</v>
      </c>
      <c r="F2" s="43"/>
    </row>
    <row r="3" spans="4:6" ht="14.25">
      <c r="D3" s="43"/>
      <c r="E3" s="43" t="s">
        <v>194</v>
      </c>
      <c r="F3" s="43"/>
    </row>
    <row r="4" spans="4:5" ht="12.75">
      <c r="D4" s="738"/>
      <c r="E4" s="738"/>
    </row>
    <row r="5" spans="1:5" ht="18">
      <c r="A5" s="739" t="s">
        <v>298</v>
      </c>
      <c r="B5" s="739"/>
      <c r="C5" s="739"/>
      <c r="D5" s="739"/>
      <c r="E5" s="739"/>
    </row>
    <row r="6" spans="4:5" ht="7.5" customHeight="1" thickBot="1">
      <c r="D6" s="103"/>
      <c r="E6" s="103"/>
    </row>
    <row r="7" spans="1:5" s="134" customFormat="1" ht="12.75">
      <c r="A7" s="740" t="s">
        <v>123</v>
      </c>
      <c r="B7" s="743" t="s">
        <v>57</v>
      </c>
      <c r="C7" s="743" t="s">
        <v>61</v>
      </c>
      <c r="D7" s="155"/>
      <c r="E7" s="156"/>
    </row>
    <row r="8" spans="1:5" s="134" customFormat="1" ht="12.75">
      <c r="A8" s="741"/>
      <c r="B8" s="744"/>
      <c r="C8" s="744"/>
      <c r="D8" s="157" t="s">
        <v>72</v>
      </c>
      <c r="E8" s="158" t="s">
        <v>63</v>
      </c>
    </row>
    <row r="9" spans="1:5" s="104" customFormat="1" ht="12.75">
      <c r="A9" s="742"/>
      <c r="B9" s="745"/>
      <c r="C9" s="745"/>
      <c r="D9" s="159"/>
      <c r="E9" s="160"/>
    </row>
    <row r="10" spans="1:5" s="104" customFormat="1" ht="12.75">
      <c r="A10" s="161">
        <v>1</v>
      </c>
      <c r="B10" s="162">
        <v>2</v>
      </c>
      <c r="C10" s="162">
        <v>3</v>
      </c>
      <c r="D10" s="163">
        <v>4</v>
      </c>
      <c r="E10" s="164">
        <v>5</v>
      </c>
    </row>
    <row r="11" spans="1:5" s="140" customFormat="1" ht="30" customHeight="1">
      <c r="A11" s="746">
        <v>1</v>
      </c>
      <c r="B11" s="747">
        <v>801</v>
      </c>
      <c r="C11" s="747">
        <v>80120</v>
      </c>
      <c r="D11" s="360" t="s">
        <v>543</v>
      </c>
      <c r="E11" s="168">
        <f>49500-1700</f>
        <v>47800</v>
      </c>
    </row>
    <row r="12" spans="1:5" s="140" customFormat="1" ht="18" customHeight="1">
      <c r="A12" s="746"/>
      <c r="B12" s="747"/>
      <c r="C12" s="747"/>
      <c r="D12" s="166" t="s">
        <v>286</v>
      </c>
      <c r="E12" s="513">
        <f>SUM(E11:E11)</f>
        <v>47800</v>
      </c>
    </row>
    <row r="13" spans="1:5" s="140" customFormat="1" ht="36" customHeight="1">
      <c r="A13" s="748">
        <f>SUM(A11+1)</f>
        <v>2</v>
      </c>
      <c r="B13" s="750">
        <v>801</v>
      </c>
      <c r="C13" s="750">
        <v>80130</v>
      </c>
      <c r="D13" s="359" t="s">
        <v>544</v>
      </c>
      <c r="E13" s="168">
        <f>82100-16000</f>
        <v>66100</v>
      </c>
    </row>
    <row r="14" spans="1:5" s="140" customFormat="1" ht="26.25" customHeight="1">
      <c r="A14" s="749"/>
      <c r="B14" s="751"/>
      <c r="C14" s="751"/>
      <c r="D14" s="359" t="s">
        <v>545</v>
      </c>
      <c r="E14" s="168">
        <f>65000-22000</f>
        <v>43000</v>
      </c>
    </row>
    <row r="15" spans="1:5" s="140" customFormat="1" ht="27" customHeight="1">
      <c r="A15" s="749"/>
      <c r="B15" s="751"/>
      <c r="C15" s="751"/>
      <c r="D15" s="175" t="s">
        <v>546</v>
      </c>
      <c r="E15" s="168">
        <f>30800-200</f>
        <v>30600</v>
      </c>
    </row>
    <row r="16" spans="1:5" s="140" customFormat="1" ht="27" customHeight="1">
      <c r="A16" s="749"/>
      <c r="B16" s="751"/>
      <c r="C16" s="751"/>
      <c r="D16" s="175" t="s">
        <v>547</v>
      </c>
      <c r="E16" s="168">
        <f>54700-32000</f>
        <v>22700</v>
      </c>
    </row>
    <row r="17" spans="1:5" s="140" customFormat="1" ht="26.25" customHeight="1">
      <c r="A17" s="749"/>
      <c r="B17" s="751"/>
      <c r="C17" s="751"/>
      <c r="D17" s="175" t="s">
        <v>548</v>
      </c>
      <c r="E17" s="168">
        <f>24200-9800</f>
        <v>14400</v>
      </c>
    </row>
    <row r="18" spans="1:7" s="140" customFormat="1" ht="28.5" customHeight="1">
      <c r="A18" s="749"/>
      <c r="B18" s="751"/>
      <c r="C18" s="751"/>
      <c r="D18" s="175" t="s">
        <v>549</v>
      </c>
      <c r="E18" s="168">
        <f>220360-22000</f>
        <v>198360</v>
      </c>
      <c r="G18" s="172"/>
    </row>
    <row r="19" spans="1:5" s="141" customFormat="1" ht="18" customHeight="1">
      <c r="A19" s="749"/>
      <c r="B19" s="751"/>
      <c r="C19" s="751"/>
      <c r="D19" s="169" t="s">
        <v>286</v>
      </c>
      <c r="E19" s="170">
        <f>SUM(E13:E18)</f>
        <v>375160</v>
      </c>
    </row>
    <row r="20" spans="1:5" s="141" customFormat="1" ht="15" customHeight="1">
      <c r="A20" s="746">
        <v>3</v>
      </c>
      <c r="B20" s="747">
        <v>853</v>
      </c>
      <c r="C20" s="747">
        <v>85311</v>
      </c>
      <c r="D20" s="361" t="s">
        <v>297</v>
      </c>
      <c r="E20" s="165">
        <v>76951</v>
      </c>
    </row>
    <row r="21" spans="1:7" ht="15">
      <c r="A21" s="746"/>
      <c r="B21" s="747"/>
      <c r="C21" s="747"/>
      <c r="D21" s="361" t="s">
        <v>445</v>
      </c>
      <c r="E21" s="165">
        <v>48791</v>
      </c>
      <c r="G21" s="533"/>
    </row>
    <row r="22" spans="1:5" ht="15">
      <c r="A22" s="746"/>
      <c r="B22" s="747"/>
      <c r="C22" s="747"/>
      <c r="D22" s="361" t="s">
        <v>446</v>
      </c>
      <c r="E22" s="165">
        <v>40760</v>
      </c>
    </row>
    <row r="23" spans="1:5" ht="15.75">
      <c r="A23" s="746"/>
      <c r="B23" s="747"/>
      <c r="C23" s="747"/>
      <c r="D23" s="166" t="s">
        <v>286</v>
      </c>
      <c r="E23" s="167">
        <f>SUM(E20:E22)</f>
        <v>166502</v>
      </c>
    </row>
    <row r="24" spans="1:5" ht="18.75" thickBot="1">
      <c r="A24" s="735" t="s">
        <v>229</v>
      </c>
      <c r="B24" s="736"/>
      <c r="C24" s="736"/>
      <c r="D24" s="737"/>
      <c r="E24" s="171">
        <f>E12+E19+E23</f>
        <v>589462</v>
      </c>
    </row>
  </sheetData>
  <mergeCells count="15">
    <mergeCell ref="B13:B19"/>
    <mergeCell ref="C13:C19"/>
    <mergeCell ref="A20:A23"/>
    <mergeCell ref="B20:B23"/>
    <mergeCell ref="C20:C23"/>
    <mergeCell ref="A24:D24"/>
    <mergeCell ref="D4:E4"/>
    <mergeCell ref="A5:E5"/>
    <mergeCell ref="A7:A9"/>
    <mergeCell ref="B7:B9"/>
    <mergeCell ref="C7:C9"/>
    <mergeCell ref="A11:A12"/>
    <mergeCell ref="B11:B12"/>
    <mergeCell ref="C11:C12"/>
    <mergeCell ref="A13:A19"/>
  </mergeCells>
  <printOptions/>
  <pageMargins left="1.4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7"/>
  <dimension ref="A1:M25"/>
  <sheetViews>
    <sheetView workbookViewId="0" topLeftCell="C1">
      <selection activeCell="K16" sqref="K16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8" customFormat="1" ht="15.75">
      <c r="B1" s="59"/>
      <c r="C1" s="60"/>
      <c r="D1" s="61"/>
      <c r="E1" s="70"/>
      <c r="F1" s="70"/>
      <c r="G1" s="43" t="s">
        <v>287</v>
      </c>
      <c r="I1" s="61"/>
      <c r="J1" s="70"/>
      <c r="K1" s="70"/>
      <c r="L1" s="70"/>
      <c r="M1" s="43" t="s">
        <v>287</v>
      </c>
    </row>
    <row r="2" spans="2:13" s="58" customFormat="1" ht="15">
      <c r="B2" s="62"/>
      <c r="C2" s="63"/>
      <c r="D2" s="64"/>
      <c r="E2" s="71"/>
      <c r="F2" s="71"/>
      <c r="G2" s="43" t="s">
        <v>195</v>
      </c>
      <c r="I2" s="64"/>
      <c r="J2" s="49"/>
      <c r="K2" s="49"/>
      <c r="L2" s="49"/>
      <c r="M2" s="43" t="s">
        <v>195</v>
      </c>
    </row>
    <row r="3" spans="2:13" s="58" customFormat="1" ht="15">
      <c r="B3" s="62"/>
      <c r="C3" s="65"/>
      <c r="D3" s="64"/>
      <c r="E3" s="71"/>
      <c r="F3" s="71"/>
      <c r="G3" s="43" t="s">
        <v>194</v>
      </c>
      <c r="I3" s="64"/>
      <c r="J3" s="49"/>
      <c r="K3" s="49"/>
      <c r="L3" s="49"/>
      <c r="M3" s="43" t="s">
        <v>194</v>
      </c>
    </row>
    <row r="4" s="66" customFormat="1" ht="12.75">
      <c r="D4" s="65"/>
    </row>
    <row r="5" ht="12.75">
      <c r="D5" s="67"/>
    </row>
    <row r="6" ht="12.75">
      <c r="D6" s="67"/>
    </row>
    <row r="8" spans="2:6" ht="18">
      <c r="B8" s="2"/>
      <c r="C8" s="2"/>
      <c r="D8" s="2"/>
      <c r="E8" s="2"/>
      <c r="F8" s="2"/>
    </row>
    <row r="9" spans="1:3" ht="18">
      <c r="A9" s="16"/>
      <c r="B9" s="16"/>
      <c r="C9" s="16"/>
    </row>
    <row r="10" spans="4:12" s="1" customFormat="1" ht="15.75">
      <c r="D10" s="52"/>
      <c r="E10" s="52"/>
      <c r="F10" s="57"/>
      <c r="G10" s="1" t="s">
        <v>120</v>
      </c>
      <c r="L10" s="1" t="s">
        <v>120</v>
      </c>
    </row>
    <row r="11" spans="1:13" s="142" customFormat="1" ht="35.25" customHeight="1">
      <c r="A11" s="716" t="s">
        <v>123</v>
      </c>
      <c r="B11" s="716" t="s">
        <v>220</v>
      </c>
      <c r="C11" s="716" t="s">
        <v>441</v>
      </c>
      <c r="D11" s="599" t="s">
        <v>221</v>
      </c>
      <c r="E11" s="752"/>
      <c r="F11" s="752"/>
      <c r="G11" s="753"/>
      <c r="H11" s="599" t="s">
        <v>221</v>
      </c>
      <c r="I11" s="752"/>
      <c r="J11" s="752"/>
      <c r="K11" s="752"/>
      <c r="L11" s="752"/>
      <c r="M11" s="753"/>
    </row>
    <row r="12" spans="1:13" s="142" customFormat="1" ht="35.25" customHeight="1">
      <c r="A12" s="716"/>
      <c r="B12" s="716"/>
      <c r="C12" s="716"/>
      <c r="D12" s="338">
        <v>2008</v>
      </c>
      <c r="E12" s="338">
        <v>2009</v>
      </c>
      <c r="F12" s="339">
        <v>2010</v>
      </c>
      <c r="G12" s="338">
        <v>2011</v>
      </c>
      <c r="H12" s="338">
        <v>2012</v>
      </c>
      <c r="I12" s="338">
        <v>2013</v>
      </c>
      <c r="J12" s="338">
        <v>2014</v>
      </c>
      <c r="K12" s="338">
        <v>2015</v>
      </c>
      <c r="L12" s="338">
        <v>2016</v>
      </c>
      <c r="M12" s="389">
        <v>2017</v>
      </c>
    </row>
    <row r="13" spans="1:13" s="142" customFormat="1" ht="11.25" customHeight="1">
      <c r="A13" s="153">
        <v>1</v>
      </c>
      <c r="B13" s="153">
        <v>2</v>
      </c>
      <c r="C13" s="153">
        <v>3</v>
      </c>
      <c r="D13" s="153">
        <v>4</v>
      </c>
      <c r="E13" s="153">
        <v>5</v>
      </c>
      <c r="F13" s="153">
        <v>6</v>
      </c>
      <c r="G13" s="340">
        <v>7</v>
      </c>
      <c r="H13" s="153">
        <v>3</v>
      </c>
      <c r="I13" s="153">
        <v>4</v>
      </c>
      <c r="J13" s="153">
        <v>5</v>
      </c>
      <c r="K13" s="153">
        <v>6</v>
      </c>
      <c r="L13" s="153">
        <v>7</v>
      </c>
      <c r="M13" s="390">
        <v>8</v>
      </c>
    </row>
    <row r="14" spans="1:13" s="121" customFormat="1" ht="28.5" customHeight="1">
      <c r="A14" s="341" t="s">
        <v>67</v>
      </c>
      <c r="B14" s="30" t="s">
        <v>73</v>
      </c>
      <c r="C14" s="346">
        <f>SUM('zał11-syt finans'!C46)</f>
        <v>2000000</v>
      </c>
      <c r="D14" s="346">
        <f>SUM('zał11-syt finans'!D46)</f>
        <v>0</v>
      </c>
      <c r="E14" s="346">
        <f>SUM('zał11-syt finans'!E46)</f>
        <v>0</v>
      </c>
      <c r="F14" s="346">
        <f>SUM('zał11-syt finans'!F46)</f>
        <v>0</v>
      </c>
      <c r="G14" s="346">
        <f>SUM('zał11-syt finans'!G46)</f>
        <v>0</v>
      </c>
      <c r="H14" s="346">
        <f>SUM('zał11-syt finans'!H46)</f>
        <v>0</v>
      </c>
      <c r="I14" s="346">
        <f>SUM('zał11-syt finans'!I46)</f>
        <v>0</v>
      </c>
      <c r="J14" s="346">
        <f>SUM('zał11-syt finans'!J46)</f>
        <v>0</v>
      </c>
      <c r="K14" s="346">
        <f>SUM('zał11-syt finans'!K46)</f>
        <v>0</v>
      </c>
      <c r="L14" s="346">
        <f>SUM('zał11-syt finans'!L46)</f>
        <v>0</v>
      </c>
      <c r="M14" s="391">
        <f>SUM('zał11-syt finans'!M46)</f>
        <v>0</v>
      </c>
    </row>
    <row r="15" spans="1:13" s="121" customFormat="1" ht="24.75" customHeight="1">
      <c r="A15" s="341" t="s">
        <v>68</v>
      </c>
      <c r="B15" s="30" t="s">
        <v>75</v>
      </c>
      <c r="C15" s="346">
        <f>SUM('zał11-syt finans'!C45)</f>
        <v>21429971</v>
      </c>
      <c r="D15" s="346">
        <f>SUM('zał11-syt finans'!D45)</f>
        <v>23442821</v>
      </c>
      <c r="E15" s="346">
        <f>SUM('zał11-syt finans'!E45)</f>
        <v>24856130</v>
      </c>
      <c r="F15" s="346">
        <f>SUM('zał11-syt finans'!F45)</f>
        <v>26317275</v>
      </c>
      <c r="G15" s="346">
        <f>SUM('zał11-syt finans'!G45)</f>
        <v>22863616</v>
      </c>
      <c r="H15" s="346">
        <f>SUM('zał11-syt finans'!H45)</f>
        <v>18256223</v>
      </c>
      <c r="I15" s="346">
        <f>SUM('zał11-syt finans'!I45)</f>
        <v>12359360</v>
      </c>
      <c r="J15" s="346">
        <f>SUM('zał11-syt finans'!J45)</f>
        <v>6850869</v>
      </c>
      <c r="K15" s="346">
        <f>SUM('zał11-syt finans'!K45)</f>
        <v>2850869</v>
      </c>
      <c r="L15" s="346">
        <f>SUM('zał11-syt finans'!L45)</f>
        <v>0</v>
      </c>
      <c r="M15" s="391">
        <f>SUM('zał11-syt finans'!M45)</f>
        <v>0</v>
      </c>
    </row>
    <row r="16" spans="1:13" s="121" customFormat="1" ht="24.75" customHeight="1">
      <c r="A16" s="341" t="s">
        <v>69</v>
      </c>
      <c r="B16" s="30" t="s">
        <v>76</v>
      </c>
      <c r="C16" s="347" t="s">
        <v>131</v>
      </c>
      <c r="D16" s="347" t="s">
        <v>131</v>
      </c>
      <c r="E16" s="347" t="s">
        <v>131</v>
      </c>
      <c r="F16" s="347" t="s">
        <v>131</v>
      </c>
      <c r="G16" s="351" t="s">
        <v>131</v>
      </c>
      <c r="H16" s="347" t="s">
        <v>131</v>
      </c>
      <c r="I16" s="347" t="s">
        <v>131</v>
      </c>
      <c r="J16" s="347" t="s">
        <v>131</v>
      </c>
      <c r="K16" s="347" t="s">
        <v>131</v>
      </c>
      <c r="L16" s="347" t="s">
        <v>131</v>
      </c>
      <c r="M16" s="392" t="s">
        <v>131</v>
      </c>
    </row>
    <row r="17" spans="1:13" s="121" customFormat="1" ht="24.75" customHeight="1">
      <c r="A17" s="342" t="s">
        <v>56</v>
      </c>
      <c r="B17" s="343" t="s">
        <v>77</v>
      </c>
      <c r="C17" s="347" t="s">
        <v>131</v>
      </c>
      <c r="D17" s="347" t="s">
        <v>131</v>
      </c>
      <c r="E17" s="347" t="s">
        <v>131</v>
      </c>
      <c r="F17" s="347" t="s">
        <v>235</v>
      </c>
      <c r="G17" s="351" t="s">
        <v>131</v>
      </c>
      <c r="H17" s="347" t="s">
        <v>131</v>
      </c>
      <c r="I17" s="347" t="s">
        <v>131</v>
      </c>
      <c r="J17" s="347" t="s">
        <v>131</v>
      </c>
      <c r="K17" s="347" t="s">
        <v>131</v>
      </c>
      <c r="L17" s="347" t="s">
        <v>131</v>
      </c>
      <c r="M17" s="392" t="s">
        <v>131</v>
      </c>
    </row>
    <row r="18" spans="1:13" s="121" customFormat="1" ht="42.75" customHeight="1">
      <c r="A18" s="342" t="s">
        <v>74</v>
      </c>
      <c r="B18" s="30" t="s">
        <v>222</v>
      </c>
      <c r="C18" s="347" t="s">
        <v>131</v>
      </c>
      <c r="D18" s="347" t="s">
        <v>131</v>
      </c>
      <c r="E18" s="347" t="s">
        <v>131</v>
      </c>
      <c r="F18" s="347" t="s">
        <v>131</v>
      </c>
      <c r="G18" s="351" t="s">
        <v>131</v>
      </c>
      <c r="H18" s="347" t="s">
        <v>131</v>
      </c>
      <c r="I18" s="347" t="s">
        <v>131</v>
      </c>
      <c r="J18" s="347" t="s">
        <v>131</v>
      </c>
      <c r="K18" s="347" t="s">
        <v>131</v>
      </c>
      <c r="L18" s="353" t="s">
        <v>131</v>
      </c>
      <c r="M18" s="393" t="s">
        <v>131</v>
      </c>
    </row>
    <row r="19" spans="1:13" s="121" customFormat="1" ht="24.75" customHeight="1">
      <c r="A19" s="344"/>
      <c r="B19" s="30" t="s">
        <v>223</v>
      </c>
      <c r="C19" s="347" t="s">
        <v>131</v>
      </c>
      <c r="D19" s="347" t="s">
        <v>131</v>
      </c>
      <c r="E19" s="347" t="s">
        <v>131</v>
      </c>
      <c r="F19" s="347" t="s">
        <v>131</v>
      </c>
      <c r="G19" s="347" t="s">
        <v>131</v>
      </c>
      <c r="H19" s="347" t="s">
        <v>131</v>
      </c>
      <c r="I19" s="347" t="s">
        <v>131</v>
      </c>
      <c r="J19" s="347" t="s">
        <v>131</v>
      </c>
      <c r="K19" s="347" t="s">
        <v>131</v>
      </c>
      <c r="L19" s="347" t="s">
        <v>131</v>
      </c>
      <c r="M19" s="392" t="s">
        <v>131</v>
      </c>
    </row>
    <row r="20" spans="1:13" s="121" customFormat="1" ht="24.75" customHeight="1">
      <c r="A20" s="344"/>
      <c r="B20" s="30" t="s">
        <v>224</v>
      </c>
      <c r="C20" s="347" t="s">
        <v>131</v>
      </c>
      <c r="D20" s="347" t="s">
        <v>131</v>
      </c>
      <c r="E20" s="347" t="s">
        <v>131</v>
      </c>
      <c r="F20" s="347" t="s">
        <v>131</v>
      </c>
      <c r="G20" s="347" t="s">
        <v>131</v>
      </c>
      <c r="H20" s="347" t="s">
        <v>131</v>
      </c>
      <c r="I20" s="347" t="s">
        <v>131</v>
      </c>
      <c r="J20" s="347" t="s">
        <v>131</v>
      </c>
      <c r="K20" s="347" t="s">
        <v>131</v>
      </c>
      <c r="L20" s="347" t="s">
        <v>131</v>
      </c>
      <c r="M20" s="392" t="s">
        <v>131</v>
      </c>
    </row>
    <row r="21" spans="1:13" s="121" customFormat="1" ht="24.75" customHeight="1">
      <c r="A21" s="344"/>
      <c r="B21" s="30" t="s">
        <v>225</v>
      </c>
      <c r="C21" s="347" t="s">
        <v>131</v>
      </c>
      <c r="D21" s="347" t="s">
        <v>131</v>
      </c>
      <c r="E21" s="347" t="s">
        <v>131</v>
      </c>
      <c r="F21" s="347" t="s">
        <v>131</v>
      </c>
      <c r="G21" s="347" t="s">
        <v>131</v>
      </c>
      <c r="H21" s="347" t="s">
        <v>131</v>
      </c>
      <c r="I21" s="347" t="s">
        <v>131</v>
      </c>
      <c r="J21" s="347" t="s">
        <v>131</v>
      </c>
      <c r="K21" s="347" t="s">
        <v>131</v>
      </c>
      <c r="L21" s="353" t="s">
        <v>131</v>
      </c>
      <c r="M21" s="393" t="s">
        <v>131</v>
      </c>
    </row>
    <row r="22" spans="1:13" s="121" customFormat="1" ht="24.75" customHeight="1">
      <c r="A22" s="345"/>
      <c r="B22" s="30" t="s">
        <v>226</v>
      </c>
      <c r="C22" s="347" t="s">
        <v>131</v>
      </c>
      <c r="D22" s="347" t="s">
        <v>131</v>
      </c>
      <c r="E22" s="347" t="s">
        <v>131</v>
      </c>
      <c r="F22" s="347" t="s">
        <v>131</v>
      </c>
      <c r="G22" s="351" t="s">
        <v>131</v>
      </c>
      <c r="H22" s="347" t="s">
        <v>131</v>
      </c>
      <c r="I22" s="347" t="s">
        <v>131</v>
      </c>
      <c r="J22" s="347" t="s">
        <v>131</v>
      </c>
      <c r="K22" s="347" t="s">
        <v>131</v>
      </c>
      <c r="L22" s="347" t="s">
        <v>131</v>
      </c>
      <c r="M22" s="392" t="s">
        <v>131</v>
      </c>
    </row>
    <row r="23" spans="1:13" s="143" customFormat="1" ht="30" customHeight="1">
      <c r="A23" s="345" t="s">
        <v>78</v>
      </c>
      <c r="B23" s="68" t="s">
        <v>227</v>
      </c>
      <c r="C23" s="348">
        <f>SUM(C14,C15)</f>
        <v>23429971</v>
      </c>
      <c r="D23" s="348">
        <f>SUM(D14,D15,D18)</f>
        <v>23442821</v>
      </c>
      <c r="E23" s="348">
        <f aca="true" t="shared" si="0" ref="E23:M23">SUM(E14,E15,E18)</f>
        <v>24856130</v>
      </c>
      <c r="F23" s="348">
        <f t="shared" si="0"/>
        <v>26317275</v>
      </c>
      <c r="G23" s="348">
        <f t="shared" si="0"/>
        <v>22863616</v>
      </c>
      <c r="H23" s="348">
        <f t="shared" si="0"/>
        <v>18256223</v>
      </c>
      <c r="I23" s="348">
        <f t="shared" si="0"/>
        <v>12359360</v>
      </c>
      <c r="J23" s="348">
        <f t="shared" si="0"/>
        <v>6850869</v>
      </c>
      <c r="K23" s="348">
        <f t="shared" si="0"/>
        <v>2850869</v>
      </c>
      <c r="L23" s="348">
        <f t="shared" si="0"/>
        <v>0</v>
      </c>
      <c r="M23" s="394">
        <f t="shared" si="0"/>
        <v>0</v>
      </c>
    </row>
    <row r="24" spans="1:13" s="143" customFormat="1" ht="27" customHeight="1">
      <c r="A24" s="345" t="s">
        <v>86</v>
      </c>
      <c r="B24" s="30" t="s">
        <v>87</v>
      </c>
      <c r="C24" s="349">
        <f>SUM('zał11-syt finans'!C11)</f>
        <v>59026343</v>
      </c>
      <c r="D24" s="349">
        <f>SUM('zał11-syt finans'!D11)</f>
        <v>64754579</v>
      </c>
      <c r="E24" s="349">
        <f>SUM('zał11-syt finans'!E11)</f>
        <v>75254329</v>
      </c>
      <c r="F24" s="349">
        <f>SUM('zał11-syt finans'!F11)</f>
        <v>66034857</v>
      </c>
      <c r="G24" s="349">
        <f>SUM('zał11-syt finans'!G11)</f>
        <v>67553659</v>
      </c>
      <c r="H24" s="349">
        <f>SUM('zał11-syt finans'!H11)</f>
        <v>69107393</v>
      </c>
      <c r="I24" s="349">
        <f>SUM('zał11-syt finans'!I11)</f>
        <v>70696863</v>
      </c>
      <c r="J24" s="349">
        <f>SUM('zał11-syt finans'!J11)</f>
        <v>72322891</v>
      </c>
      <c r="K24" s="349">
        <f>SUM('zał11-syt finans'!K11)</f>
        <v>73986318</v>
      </c>
      <c r="L24" s="349">
        <f>SUM('zał11-syt finans'!L11)</f>
        <v>75688003</v>
      </c>
      <c r="M24" s="395">
        <f>SUM('zał11-syt finans'!M11)</f>
        <v>77428828</v>
      </c>
    </row>
    <row r="25" spans="1:13" s="143" customFormat="1" ht="30" customHeight="1">
      <c r="A25" s="345" t="s">
        <v>89</v>
      </c>
      <c r="B25" s="30" t="s">
        <v>228</v>
      </c>
      <c r="C25" s="350">
        <f aca="true" t="shared" si="1" ref="C25:M25">C23/C24*100</f>
        <v>39.694092178470214</v>
      </c>
      <c r="D25" s="350">
        <f t="shared" si="1"/>
        <v>36.20256877895847</v>
      </c>
      <c r="E25" s="350">
        <f t="shared" si="1"/>
        <v>33.02950186427149</v>
      </c>
      <c r="F25" s="350">
        <f t="shared" si="1"/>
        <v>39.853610949744315</v>
      </c>
      <c r="G25" s="352">
        <f t="shared" si="1"/>
        <v>33.845118589357234</v>
      </c>
      <c r="H25" s="350">
        <f t="shared" si="1"/>
        <v>26.417177971103612</v>
      </c>
      <c r="I25" s="350">
        <f t="shared" si="1"/>
        <v>17.482190122070904</v>
      </c>
      <c r="J25" s="350">
        <f t="shared" si="1"/>
        <v>9.472614970549227</v>
      </c>
      <c r="K25" s="350">
        <f t="shared" si="1"/>
        <v>3.8532381081594034</v>
      </c>
      <c r="L25" s="350">
        <f t="shared" si="1"/>
        <v>0</v>
      </c>
      <c r="M25" s="396">
        <f t="shared" si="1"/>
        <v>0</v>
      </c>
    </row>
    <row r="26" s="50" customFormat="1" ht="12.75"/>
    <row r="27" s="50" customFormat="1" ht="12.75"/>
    <row r="28" s="50" customFormat="1" ht="12.75"/>
    <row r="29" s="50" customFormat="1" ht="12.75"/>
    <row r="30" s="50" customFormat="1" ht="12.75"/>
    <row r="31" s="50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2009-01-09T06:15:50Z</cp:lastPrinted>
  <dcterms:created xsi:type="dcterms:W3CDTF">1998-12-09T13:02:10Z</dcterms:created>
  <dcterms:modified xsi:type="dcterms:W3CDTF">2009-01-09T06:15:51Z</dcterms:modified>
  <cp:category/>
  <cp:version/>
  <cp:contentType/>
  <cp:contentStatus/>
</cp:coreProperties>
</file>