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20" windowWidth="10920" windowHeight="4980" tabRatio="774" firstSheet="11" activeTab="15"/>
  </bookViews>
  <sheets>
    <sheet name="TAK zal1-doch" sheetId="1" r:id="rId1"/>
    <sheet name="TAK zal2-wyd" sheetId="2" r:id="rId2"/>
    <sheet name="TAK zał3-prog wielol" sheetId="3" r:id="rId3"/>
    <sheet name="TAK zał3a-zadania inwestycyjne" sheetId="4" r:id="rId4"/>
    <sheet name="TAK zał4-projekty unia" sheetId="5" r:id="rId5"/>
    <sheet name="TAK zał5-sfin" sheetId="6" r:id="rId6"/>
    <sheet name="TAK zał6-zlec" sheetId="7" r:id="rId7"/>
    <sheet name="TAK zał7-poroz" sheetId="8" r:id="rId8"/>
    <sheet name="TAK zał8-gosp" sheetId="9" r:id="rId9"/>
    <sheet name="TAK zał9-dot dla niep" sheetId="10" r:id="rId10"/>
    <sheet name="TAK zał10-zadania" sheetId="11" r:id="rId11"/>
    <sheet name="TAK zał11-inne dotacje" sheetId="12" r:id="rId12"/>
    <sheet name="TAK zał12-F.Ochr Środ" sheetId="13" r:id="rId13"/>
    <sheet name="TAK zał13-F.Geod" sheetId="14" r:id="rId14"/>
    <sheet name="TAK zał14-progn" sheetId="15" r:id="rId15"/>
    <sheet name="TAK zał14a-syt finans" sheetId="16" r:id="rId16"/>
  </sheets>
  <definedNames>
    <definedName name="_xlnm.Print_Titles" localSheetId="0">'TAK zal1-doch'!$8:$10</definedName>
    <definedName name="_xlnm.Print_Titles" localSheetId="1">'TAK zal2-wyd'!$8:$10</definedName>
    <definedName name="_xlnm.Print_Titles" localSheetId="15">'TAK zał14a-syt finans'!$A:$B</definedName>
    <definedName name="_xlnm.Print_Titles" localSheetId="14">'TAK zał14-progn'!$A:$B</definedName>
    <definedName name="_xlnm.Print_Titles" localSheetId="3">'TAK zał3a-zadania inwestycyjne'!$10:$13</definedName>
    <definedName name="_xlnm.Print_Titles" localSheetId="2">'TAK zał3-prog wielol'!$10:$13</definedName>
    <definedName name="_xlnm.Print_Titles" localSheetId="4">'TAK zał4-projekty unia'!$7:$13</definedName>
    <definedName name="_xlnm.Print_Titles" localSheetId="6">'TAK zał6-zlec'!$11:$11</definedName>
    <definedName name="_xlnm.Print_Titles" localSheetId="7">'TAK zał7-poroz'!$8:$11</definedName>
  </definedNames>
  <calcPr fullCalcOnLoad="1"/>
</workbook>
</file>

<file path=xl/sharedStrings.xml><?xml version="1.0" encoding="utf-8"?>
<sst xmlns="http://schemas.openxmlformats.org/spreadsheetml/2006/main" count="1624" uniqueCount="762">
  <si>
    <t>Kredyty zaciągnięte w danym roku budżetowym:</t>
  </si>
  <si>
    <t>IX.1</t>
  </si>
  <si>
    <t>IX.2</t>
  </si>
  <si>
    <t>X.1</t>
  </si>
  <si>
    <t>X.2</t>
  </si>
  <si>
    <t>Przewidywane wykonanie</t>
  </si>
  <si>
    <t xml:space="preserve">Modernizacja drogi powiatowej Nr 09583 Ogrodzieniec -Trupel na odcinku 3,1 km </t>
  </si>
  <si>
    <t>Dochody z najmu i dzierżawy składników majątkowych Skarbu Państwa, jednostek samorządu terytorialnego lub innych jednostek zaliczanych do sektora finansów publicznych oraz innych umów o podobnym charakterze</t>
  </si>
  <si>
    <t>75421</t>
  </si>
  <si>
    <t>Zarządzanie kryzysowe</t>
  </si>
  <si>
    <r>
      <t xml:space="preserve">                                 </t>
    </r>
    <r>
      <rPr>
        <b/>
        <u val="single"/>
        <sz val="14"/>
        <rFont val="Arial CE"/>
        <family val="2"/>
      </rPr>
      <t>NA 2009 ROK</t>
    </r>
  </si>
  <si>
    <t>Przewidywane wykonanie 2008 r</t>
  </si>
  <si>
    <t>Plan na rok 2009</t>
  </si>
  <si>
    <t>80148</t>
  </si>
  <si>
    <t>2008</t>
  </si>
  <si>
    <t>2710</t>
  </si>
  <si>
    <t>6309</t>
  </si>
  <si>
    <t>6300</t>
  </si>
  <si>
    <t>630</t>
  </si>
  <si>
    <t>63003</t>
  </si>
  <si>
    <t>6619</t>
  </si>
  <si>
    <t>75618</t>
  </si>
  <si>
    <t>2910</t>
  </si>
  <si>
    <t>85395</t>
  </si>
  <si>
    <t xml:space="preserve">                                      z dnia 30 grudnia 2008 roku</t>
  </si>
  <si>
    <t>Wpływ z tytułu pomocy finansowej udzielanej między jednostkami samorządu terytorialnego na dofinansowanie własnych zadań inwestycyjnych i zakupów inwestycyjnych</t>
  </si>
  <si>
    <t>Wpływ z usług</t>
  </si>
  <si>
    <t>Dotacje celeowe otrzymane z gminy na zadania bieżące realizowane za podstawie porozumień (umów) między jednostkami samorządu terytorialnego</t>
  </si>
  <si>
    <t>Wpływy z tytułu pomocy finansowej udzielanej między jednostkami samorządu terytorialnego na dofinansowanie własnych zadań bieżących</t>
  </si>
  <si>
    <t>Wpływy z innych opłat stanowiących dochody jednostek samorządu terytorialnego na podstawie ustaw</t>
  </si>
  <si>
    <t>Wpływy ze zwrotów dotacji wykorzystanych niezgodnie z przeznaczeniem lub pobranych w nadmiernej wysokości</t>
  </si>
  <si>
    <t>Stołówki szkolne</t>
  </si>
  <si>
    <t>Dotacje otrzymane z funduszy celowych na realizację zadań bieżących jednostek sektora finansów publicznych</t>
  </si>
  <si>
    <t>Dotacje rozwojowe oraz środki na finansowanie Wspólnej Polityki Rolnej</t>
  </si>
  <si>
    <t>Kultura fizyczna i sport</t>
  </si>
  <si>
    <t>Dotacje otrzymane z funduszy celowych na realiację zadań bieżacych jednostek sektora finansów publicznych</t>
  </si>
  <si>
    <t>Wpływy z tytułu pomocy finansowej udzielanej między jednostkami samorządu terytorialnego na dofinansowanie własnych zadań inwestycyjnych i zakupów inwestycyjnych</t>
  </si>
  <si>
    <t>i innych zadań zleconych odrębnymi ustawami w 2009 roku</t>
  </si>
  <si>
    <t>TURYSTYKA</t>
  </si>
  <si>
    <t>Zadania w zakresie upowszechniania turystyki</t>
  </si>
  <si>
    <t>Przewidywane wykonanie za 2008 r.</t>
  </si>
  <si>
    <t xml:space="preserve">Plan na 2009 r. </t>
  </si>
  <si>
    <r>
      <t xml:space="preserve">       </t>
    </r>
    <r>
      <rPr>
        <b/>
        <u val="single"/>
        <sz val="12"/>
        <rFont val="Arial CE"/>
        <family val="2"/>
      </rPr>
      <t>WYDATKI BUDŻETU POWIATU IŁAWSKIEGO NA 2009 ROK</t>
    </r>
  </si>
  <si>
    <t>Zapewnienie bezpiecznego wypoczynku na akwenach wodnych wypoczywających mieszkańców Powiatu oraz przybyłych turystów</t>
  </si>
  <si>
    <t>i nienależące do sektora finansów publicznych w 2009 r.</t>
  </si>
  <si>
    <t xml:space="preserve"> na podstawie porozumień (umów) między jednostkami samorządu terytorialnego w 2009 r.</t>
  </si>
  <si>
    <t>Gmina Miejska Iława -      32.000,-</t>
  </si>
  <si>
    <t>Gmina Kisielice: 9.760,-zł</t>
  </si>
  <si>
    <t>Powiat Nidzica - 42.556,-zł</t>
  </si>
  <si>
    <t>Powiat Malborski - 7.906,-zł</t>
  </si>
  <si>
    <t>Powiat Kwidzyński -  7.906,-zł</t>
  </si>
  <si>
    <t>Powiat Ostróda-  7.906,-zł</t>
  </si>
  <si>
    <t>Zintegrowany system promocji turystycznej obszaru Kanału Elbląskiego</t>
  </si>
  <si>
    <t>Gmina Miejska Iława - 30.000 zł</t>
  </si>
  <si>
    <t>Gmina Wiejska Iława - 25.000 zł</t>
  </si>
  <si>
    <t>Gmina Miejska Zalewo - 15.000 zł</t>
  </si>
  <si>
    <t>Miasto Toruń -      4.165,-zł</t>
  </si>
  <si>
    <t>Powiat Grodzki Elbląg -  35.575,-zł</t>
  </si>
  <si>
    <t>Powiat Ostródzki -         55.339,-zł</t>
  </si>
  <si>
    <t>Powiat Gołdap - 22.799,-zł</t>
  </si>
  <si>
    <t>Gmina Miejska Zalewo: 31.672,-zł</t>
  </si>
  <si>
    <t xml:space="preserve">             Inne dotacje udzielone w roku 2009</t>
  </si>
  <si>
    <t xml:space="preserve">Dotacja podmiotowa z budżetu dla samodzielnego publicznego zakładu opieki zdrowotnej utworzonego przez jednostkę samorządu terytorialnego - współfinansowanie projektu "Poprawa opieki perinatalnej gwaracja zdrowia społeczności lokalnej powiatu iławskiego" - badania profilaktyczne kobiet ciężarnych i innych zadań związanych z realizacją projektu </t>
  </si>
  <si>
    <t>Dotacje celowe z budżetu na finansowanie lub dofinansowanie kosztów realizacji inwestycji i zakupów inwestycyjnych innych jednostek sektora finansów publicznych - Modernizacja Powiatowego Szpitala w Iławie IV etap - zakup sprzętu do sterylizacji</t>
  </si>
  <si>
    <t>Plan na 2009 r.</t>
  </si>
  <si>
    <t>§ 4370 - Opłata z tytułu zakupu usług telekomunikacyjnych telefoni stacjonarnej</t>
  </si>
  <si>
    <t>§ 4430 - Różne opłaty i składki</t>
  </si>
  <si>
    <t>oraz dochodów i wydatków rachunków dochodów własnych na rok 2009</t>
  </si>
  <si>
    <t>Rozliczenie z budżetem z tytułu wpłat nadwyzek środków za 2008r.</t>
  </si>
  <si>
    <t>1. Liceum Ogólnokształcące dla dorosłych w Iławie ul. M. Skłodowskiej 31 (1300 osób*33 zł=42.900,-zł)</t>
  </si>
  <si>
    <t>Warmińsko Mazurski Zakład Doskonalenia Zawodowego w Olsztynie Centrum Kształcenia Zawodowego w Iławie, ul.Grunwaldzka 13,                                                              (1.920 osoby*55 zł=105.600,-zł)</t>
  </si>
  <si>
    <t>Towarzystwo Wiedzy Powszechnej O/Rejonowy w Olsztynie ul. Wyzwolenia 30 Szkoła Policealna w Suszu (520osób*55 zł=28.600,-zł)</t>
  </si>
  <si>
    <t>Towarzystwo Wiedzy Powszechnej O/Rejonowy w Olsztynie ul. Wyzwolenia 30 Szkoła Policealna w Lubawie (720 osób*55 zł=39.600,-zł)</t>
  </si>
  <si>
    <t>Centrum Edukacji Dorosłych "ALFA" Gdańsk Centrum Edukacji Dorosłych "ALFA" Studium Policealne ul. Andersa 7, 14-200 Iława (720 osoby*55 zł=39.600,-zł)</t>
  </si>
  <si>
    <t>Centrum Edukacji i Marketingu w Lubawie ul. Kupnera 33 - Szkoła Policealna (480 osoby*55 zł=26.400,-zł)</t>
  </si>
  <si>
    <t>Centrum Edukacji i Marketingu w Lubawie ul. Kupnera 33 - Technikum Uzupełniające (2.632 osoby*83 zł=218.456,-zł)</t>
  </si>
  <si>
    <t>Wydatki inwestycyjne jednoroczne w 2009 r.</t>
  </si>
  <si>
    <t>Montaż instalacji monitorującej</t>
  </si>
  <si>
    <t>Wymiana centrali alarmowej na budynku</t>
  </si>
  <si>
    <t>Sieć bezprzewodowa PIAP (Urzad)</t>
  </si>
  <si>
    <t>Agregat prądotwórczy dużej mocy (20KW) do budynku Starostwa</t>
  </si>
  <si>
    <t>75404</t>
  </si>
  <si>
    <t>Montaż instalacji przeciwpożarowej</t>
  </si>
  <si>
    <t>POWIATOWE URZĘDY PRACY</t>
  </si>
  <si>
    <t>Powiatowy Urząd Pracy</t>
  </si>
  <si>
    <t>Znakowanie turystyczne regionu Warmii i Mazur -12.470,-zł</t>
  </si>
  <si>
    <t>Porozumienie z Samorządem Województwa Warmińsko-Mazurskiego</t>
  </si>
  <si>
    <t>Zintegrowany system promocji turystycznej obszaru Kanału Elbląskiego "Program rozwoju turystuki w obszarze Kanału Elbląskiego i Pojezierza Iławskiego" - 88.800,-zł</t>
  </si>
  <si>
    <t xml:space="preserve">Zakup kserokopiarek </t>
  </si>
  <si>
    <t>Starostwo Powiatowe</t>
  </si>
  <si>
    <t>Zakup serwera</t>
  </si>
  <si>
    <t>Rok 2011</t>
  </si>
  <si>
    <t>Rok budżetowy 2009 (6+7+8+9)</t>
  </si>
  <si>
    <t>Starostwo Powiatowe w Iławie</t>
  </si>
  <si>
    <t>B</t>
  </si>
  <si>
    <t>Budowa pełnowymiarowej Sali gimnastycznej przy Zespole Szkół im. Konstytucji 3 Maja w Iławie (2008-2010)</t>
  </si>
  <si>
    <t>Przebudowa ulicy Królowej Jadwigi od ulicy Niepodległości oraz skrzyżowanie ulicy Królowej Jadwigi i ulicy Sobieskiego w Iławie (2008-2009)</t>
  </si>
  <si>
    <t>Przebudowa drogi powiatowej nr 1329 w Iławie, ulicy Dąbrowskiego i ul. Zalewskiej (2007-2012)</t>
  </si>
  <si>
    <t>Zespół Szkół im. Konstytucji                       3 Maja w Iławie</t>
  </si>
  <si>
    <t>Modrnizacja drogi powiatowej Nr 1307N Susz-Kisielice - odcinek dł. 7,8 km</t>
  </si>
  <si>
    <t>Miasto Gmina Susz - 385.000,-</t>
  </si>
  <si>
    <t>Miasto Gmina Kisielice - 297.500,-</t>
  </si>
  <si>
    <t>Gmina Miejska Lubawa - 232.000,-</t>
  </si>
  <si>
    <t>Umowa o wsparcie finansowe z jst na współudział w finansowaniu dróg powiatowych w ramach Narodowego Programu Przebudowy Dróg Lokalnych 2008-2001</t>
  </si>
  <si>
    <t>Przebudowa drogi powiatowej nr 1329 w Iławie, ulicy Dąbrowskiego i ul. Zalewskiej - Miasto Iława</t>
  </si>
  <si>
    <t>Przebudowa ulicy Królowej Jadwigi od ulicy Niepodległości oraz skrzyżowanie ulicy Królowej Jadwigi i ulicy Sobieskiego w Iławie - Miasto Iława</t>
  </si>
  <si>
    <t>Poprawa dostępności komunikacyjnej miasta - przebudowa drogi pow. ul. Rzepnikowskiego w Lubawie - Miasto Lubawa</t>
  </si>
  <si>
    <t xml:space="preserve">Umowa o wsparcie finansowe z jst na współudział w finansowaniu bieżącym dróg powiatowych </t>
  </si>
  <si>
    <t>Umowa o wsparcie finansowe z jst na współudział w finansowaniu inwestycyjnym dróg powiatowych z wykorzystaniem środków z UE</t>
  </si>
  <si>
    <t>Miasto Iława - 570.972,-zł</t>
  </si>
  <si>
    <t>Miasto Lubawa - 457.790,-zł</t>
  </si>
  <si>
    <t>Komendy wojewódzkie Policji</t>
  </si>
  <si>
    <t>Projekt, wykonanie i montaż instalacji elektrycznej</t>
  </si>
  <si>
    <t>Dostosowanie pomieszczeń po PUP w Iławie do potrzeb Wydziałów Starostwa Powiatowego</t>
  </si>
  <si>
    <t>Przebudowa instalacji komputerowej</t>
  </si>
  <si>
    <t>Zakup samochodu pożarniczego ciężkiego ratowniczo-gaśniczego</t>
  </si>
  <si>
    <t>Zakup klimatyzacji do serwerowni</t>
  </si>
  <si>
    <t>Przewidywane wykonanie 2008 r.</t>
  </si>
  <si>
    <t>Źródła sfinansowania deficytu lub rozdysponowanie                                                           nadwyżki budżetowej w 2009 r.</t>
  </si>
  <si>
    <t>* A Środki i dotacje otrzymane od innych jst oraz innych jednostek zaliczanych do sektora finansów publicznych</t>
  </si>
  <si>
    <t>*  A  Dotacje i środki z budżetu państwa (np.. Od Wojewody, MEN, UKSiS)</t>
  </si>
  <si>
    <t xml:space="preserve">   B  Środki i dotacje otrzymane od innych jst oraz innych jednostek zaliczanych do sektora finansów publicznych</t>
  </si>
  <si>
    <t xml:space="preserve">   C  Inne źródła</t>
  </si>
  <si>
    <t>Jednostka organizacyjna realizująca zadanie lub koordynująca program</t>
  </si>
  <si>
    <t>Wydatki razem (9+13)***</t>
  </si>
  <si>
    <t>Regionalny Program Operacyjny Warmia i Mazury na lata 2007-2013</t>
  </si>
  <si>
    <t>1.2</t>
  </si>
  <si>
    <t>Działanie 5.1 Rozbudowa i modernizacja infrastruktury transportowej warunkujacej rozwój regionalny</t>
  </si>
  <si>
    <t>Poprawa dostępności komunikacyjnej miasta - przebudowa drogi pow. ul. Rzepnikowskiego w Lubawie</t>
  </si>
  <si>
    <t>1.5</t>
  </si>
  <si>
    <t>Działanie 5.1 Regionalny Program Operacyjny Warmia i Mazury 2007-2013 - Wzrost potencjału turystycznego</t>
  </si>
  <si>
    <t>Przebudowa ulicy Królowej Jadwigi od ulicy Niepodległości oraz skrzyżowanie ulicy Królowej Jadwigi i ulicy Sobieskiego w Iławie</t>
  </si>
  <si>
    <t>1.6</t>
  </si>
  <si>
    <t>Priorytet 2. Turystyka</t>
  </si>
  <si>
    <t>Gmina Wiejska Lubawa: 11.580,-zł</t>
  </si>
  <si>
    <t>Szkolenie Rodzin Zastępczych</t>
  </si>
  <si>
    <t>Działanie 2.1 Regionalny Program Operacyjny Warmia i Mazury 2007-2013 - Wzrost potencjału turystycznego</t>
  </si>
  <si>
    <t>Znakowanie turystyczne regionu Warmii i Mazur</t>
  </si>
  <si>
    <t>Dział 630 Rozdział 63003</t>
  </si>
  <si>
    <t>1.7</t>
  </si>
  <si>
    <t xml:space="preserve">Program Operacyjny dla wykorzystania środków finansowych w ramach Mechanizmu Finansowego Europejskiego Obszaru Gospodarczego oraz Norweskiego Mechanizmu Finansowego </t>
  </si>
  <si>
    <t>Priorytet: 5. Opieka zdrowotna i opieka nad dzieckiem</t>
  </si>
  <si>
    <t>„Poprawa opieki perinatalnej gwarancją zdrowia społeczności lokalnej powiatu iławskiego”</t>
  </si>
  <si>
    <t>Dział 851 Rozdział 85111</t>
  </si>
  <si>
    <t>2.1</t>
  </si>
  <si>
    <t>2.2</t>
  </si>
  <si>
    <t>Program Operacyjny Kapitał Ludzki</t>
  </si>
  <si>
    <t>Priorytet IX Rozwój wykształcenia i kompetencji w regionach</t>
  </si>
  <si>
    <t>Działanie 9.1 Wyrównywanie szans edukacyjnych i zapewnienie wysokiej jakości usług edukacyjnych świadczonych w systemie oświaty</t>
  </si>
  <si>
    <t>"Uwierz w siebie. Zajęcia pozalekcyjne i pozaszkolne dla uczniów z Zespołu Placówek Szkolno-Wychowawczych w Iławie"</t>
  </si>
  <si>
    <t>Dział 853 Rozdział 85395</t>
  </si>
  <si>
    <t>2.3</t>
  </si>
  <si>
    <t>Priorytet VI Rynek Pracy otwarty dla wszystkich</t>
  </si>
  <si>
    <t>Działanie 6.1 Poprawa dostępności do zatrudnienia oraz wspieranie aktywności zawodowej w regionie</t>
  </si>
  <si>
    <t>"Wspólny cel - Wspólny rozwój"</t>
  </si>
  <si>
    <t>2.4</t>
  </si>
  <si>
    <t>Priorytet VII Promocja integracji społecznej</t>
  </si>
  <si>
    <t>Działanie 7.1 Rozwój i upowszechnianie aktywnej integracji</t>
  </si>
  <si>
    <t>"Aktywizacja zawodowa i społeczna osób zagrożonych wykluczeniem społecznym z powiatu iławskiego</t>
  </si>
  <si>
    <t>*      wydatki obejmują wydatki bieżące i majątkowe (dotyczące inwestycji rocznych i ujętych w wieloletnim programie inwestycyjnym)</t>
  </si>
  <si>
    <t>**     środki własne j.s.t., współfinansowanie z budżetu państwa oraz inne</t>
  </si>
  <si>
    <t>***</t>
  </si>
  <si>
    <t>w wydatkach razem (kol.9) nie jest ujęta kwota w wysokości 42.610,-zł (par. 2918 - 28.975,-zł, par. 2919 - 13.635,-zł), tj. zwroty dotacji wykorzystanych niezgodnie z przeznaczeniem lub pobranych w nadmiernej wysokości dotyczących wypłaty stypendiów dla uczniów szkół ponadgimnazjalnych w latach 2004/2005 pn."Pomoc stypendialna powiatów warmińsko-mazurskich uczniom szkół ponadgimnazjalnych z obszarów wiejskich"</t>
  </si>
  <si>
    <t>Wydatki ogółem (6+10)</t>
  </si>
  <si>
    <t xml:space="preserve">Dotacje podmiotowe w 2009 roku </t>
  </si>
  <si>
    <t>2. Zaoczne Uzupełniające LO dla dorosłych ul. Wiejska w Iławie (424 osoby*33 zł=13.992,-zł), Zaoczne LO i uzupełniające LO ul. Św. Barbary w Lubawie (240 osób*33 zł=7.920,-zł) Zoczne LO dla dorosłych ul. Wiejska w Iławie (120 osób*33 zł=3.960,-zł)</t>
  </si>
  <si>
    <t>Społeczne Stowarzyszenie Prasoznawcze "STOPKA" Łomża ul. Piłsudskiego 83,  Policealne Studium Medyczne w Iławie (560 osób*300 zł=168.000)</t>
  </si>
  <si>
    <t>Projekt i budowa chodnika dł. 650 m w miejscowości Grabowo do szkoły - droga powiatowa Nr 1214N Kałduny-Rożental-Wałdyki (2007-2011)</t>
  </si>
  <si>
    <t>Modernizacja drogi powiatowej Nr 09583 Ogrodzieniec -Trupel na odcinku 3,1 km (2005-2011)</t>
  </si>
  <si>
    <t>Poprawa dostępności komunikacyjnej miasta - przebudowa drogi pow. ul. Rzepnikowskiego w Lubawie (2007-2010)</t>
  </si>
  <si>
    <t>Projekt przebudowy drogi powiatowej Nr 1231N Gierłoż-Zielkowo-Byszwałd dł. 750 m (2007-2010)</t>
  </si>
  <si>
    <t>Projekt i przebudowa drogi powiatowej Nr 1214N Kałduny-Rożental-Wałdyki na odcinku od drogi krajowej Nr 16 o długości 3,1 km (2009-2011)</t>
  </si>
  <si>
    <t>Przewidywane wykonanie 2008</t>
  </si>
  <si>
    <t>z tego: 2009r.</t>
  </si>
  <si>
    <t>Zintegrowany system promocji turystycznej obszaru Kanału Elbląskiego "Program rozwoju turystuki w obszarze Kanału Elbląskiego i Pojezierza Iławskiego</t>
  </si>
  <si>
    <t>Działanie 2.2  Wzrost potencjału turystycznego</t>
  </si>
  <si>
    <t>Limity wydatków na wieloletnie programy inwestycyjne w latach 2009-2011</t>
  </si>
  <si>
    <t>Modrnizacja drogi powiatowej Nr 1222N Lubawa-Rumienica - odcinek dł. 2,65 km</t>
  </si>
  <si>
    <t>Zakup kosiarki bijakowej</t>
  </si>
  <si>
    <t>Zakup kserokopiarki</t>
  </si>
  <si>
    <t>ZSR Kisielice</t>
  </si>
  <si>
    <t>na podstawie porozumień (umów) między jednostkami samorządu terytorialnego</t>
  </si>
  <si>
    <t>dotacje</t>
  </si>
  <si>
    <t>Wydatki ogółem (7+11)</t>
  </si>
  <si>
    <t xml:space="preserve">Całoroczne utrzymanie dróg powiatowych w miastach, w tym: </t>
  </si>
  <si>
    <t>Gmina Susz -                   29.300,-</t>
  </si>
  <si>
    <t>Gmina Kisielice -              14.000,-</t>
  </si>
  <si>
    <t>Gmina Miejska Zalewo -  37.500,-</t>
  </si>
  <si>
    <t>Partycypacja w kosztach utrzymania placówki opiekuńczo-wychowawczej "Słoneczko" w Zalewie</t>
  </si>
  <si>
    <t>Dotacja na pokrycie kosztów utrzymania dziecka w rodzinie zastępczej</t>
  </si>
  <si>
    <t>Powiat Kwidzyński -      13.835,-zł</t>
  </si>
  <si>
    <t>Pokrywanie kosztów utrzymania dzieci i młodzieży z terenu naszego powiatu umieszczonych w placówkach opiekuńczo-wychowawczych na terenie innego powiatu</t>
  </si>
  <si>
    <t>Dotacja dla budżetu Powiatu Działdowskiego na pokrycie kosztów utrzymania dzieci w rodzinie zastępczej</t>
  </si>
  <si>
    <t>Stan środków obrotowych** na początek roku</t>
  </si>
  <si>
    <t>**) stan środków pieniężnych</t>
  </si>
  <si>
    <t>*) w rachunku dochodów własnych - dochody</t>
  </si>
  <si>
    <t>***) źródła dochodów wskazanych przez Zarząd</t>
  </si>
  <si>
    <t>Wydatki bieżące</t>
  </si>
  <si>
    <t>Wynagro-
dzenia</t>
  </si>
  <si>
    <t>Pochodne od wynagro-
dzeń</t>
  </si>
  <si>
    <t>Dotacje</t>
  </si>
  <si>
    <t>Wydatki na na obsługę długu</t>
  </si>
  <si>
    <t>Wydatki
z tytułu poręczeń
i gwarancji</t>
  </si>
  <si>
    <t>Nazwa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</si>
  <si>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</si>
  <si>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</si>
  <si>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</si>
  <si>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</si>
  <si>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</si>
  <si>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</si>
  <si>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</si>
  <si>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</si>
  <si>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</si>
  <si>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</si>
  <si>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</si>
  <si>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</si>
  <si>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85141</t>
  </si>
  <si>
    <t>92105</t>
  </si>
  <si>
    <t>Nazwa zadania inwestycyjnego okres realizacji (w latach)</t>
  </si>
  <si>
    <t>Łączne koszty finansowe</t>
  </si>
  <si>
    <t>11.</t>
  </si>
  <si>
    <t>12.</t>
  </si>
  <si>
    <t>Dochody własne jst</t>
  </si>
  <si>
    <t>środki pochodzące z innych źr*</t>
  </si>
  <si>
    <t>środki wymienione w art.. 5 ust. 1 pkt 2 i 3 u.f.p.</t>
  </si>
  <si>
    <t>PLANOWANE WYDATKI</t>
  </si>
  <si>
    <t>W TYM: ŹRÓDŁA FINANSOWANIA</t>
  </si>
  <si>
    <t xml:space="preserve">                     Załącznik Nr 3a</t>
  </si>
  <si>
    <t>2009 r.</t>
  </si>
  <si>
    <t>2010 r.</t>
  </si>
  <si>
    <t xml:space="preserve">Wydatki* na programy i projekty realizowane ze środków pochodzacych z funduszy strukturalnych i Funduszu Spójności </t>
  </si>
  <si>
    <t>w tym wydatki na wieloletnie programy inwestycyjne</t>
  </si>
  <si>
    <t>Promocja jednostek samorządu terytorialnego</t>
  </si>
  <si>
    <t>2701</t>
  </si>
  <si>
    <t>2690</t>
  </si>
  <si>
    <t>Dotacje celowe otrzymane z budżetu państwa na zadania bieżące realizowane przez powiat na podstawie porozumień z organami administracji rządowej</t>
  </si>
  <si>
    <t>Środki Funduszu Pracy przekazane powiatom z przeznaczeniem na finansowanie kosztów wynagrodzenia i składek na ubezpieczenia społeczne pracowników powiatowego urzędu pracy</t>
  </si>
  <si>
    <t>Poradnie psychologiczno-pedagogiczne, w tym poradnie specjalistyczne</t>
  </si>
  <si>
    <t xml:space="preserve">Wydatki bieżące </t>
  </si>
  <si>
    <t>spłata pożyczek, kredytów zaciągniętych w związku ze środkami określonymi w umowie zawartej z podmiotem dysponującym z funduszami strukturalnymi lub F.S.U.E</t>
  </si>
  <si>
    <t>odsetki</t>
  </si>
  <si>
    <t>Spłata zaciągnietych pożyczek, kredytów, w tym:</t>
  </si>
  <si>
    <t>B.</t>
  </si>
  <si>
    <t>Spłata przewidywanych pożyczek, kredytów, w tym:</t>
  </si>
  <si>
    <t>Wartość udzielonych poręczeń</t>
  </si>
  <si>
    <t>Wykup papierów wartosciowych</t>
  </si>
  <si>
    <t>C.</t>
  </si>
  <si>
    <t>D.</t>
  </si>
  <si>
    <t>PLANOWANA ŁĄCZNA KWOTA DŁUGU NA 31/12 DANEGO ROKU, w tym:</t>
  </si>
  <si>
    <t>Dług zaciągnietejw związku ze środkami określonymi w umowie zawartej z podmiotem dysponującym funduszami strukturalnymi lub F.S.U.E</t>
  </si>
  <si>
    <t>E.</t>
  </si>
  <si>
    <t>§</t>
  </si>
  <si>
    <t xml:space="preserve">Kredyty </t>
  </si>
  <si>
    <t>Pożyczki na finansowanie zadań realizowanych z udziałem środków pochodzacych z budżetu UE</t>
  </si>
  <si>
    <t>§ 903</t>
  </si>
  <si>
    <t>§ 951</t>
  </si>
  <si>
    <t>§ 941 do § 944</t>
  </si>
  <si>
    <t>Obligacje skarbowe</t>
  </si>
  <si>
    <t>§ 911</t>
  </si>
  <si>
    <t>Inne papiery wartościowe</t>
  </si>
  <si>
    <t>§ 931</t>
  </si>
  <si>
    <t>Inne źródła ( wolne środki)</t>
  </si>
  <si>
    <t>Spłaty pożyczek otrzymanych na finansowanie zadań realizowanych z udziałem środków pochodzących z budzetu UE</t>
  </si>
  <si>
    <t>§ 963</t>
  </si>
  <si>
    <t>Udzielone pożyczki</t>
  </si>
  <si>
    <t xml:space="preserve">Lokaty </t>
  </si>
  <si>
    <t>§ 971</t>
  </si>
  <si>
    <t>Przychody *)</t>
  </si>
  <si>
    <t>OGÓŁEM</t>
  </si>
  <si>
    <t xml:space="preserve">w złotych </t>
  </si>
  <si>
    <t>PROGNOZA</t>
  </si>
  <si>
    <t>Prognoza</t>
  </si>
  <si>
    <t>Dochody własne , w tym  :</t>
  </si>
  <si>
    <t>udziały w podatkach stanowiących dochód budżetu powiatu</t>
  </si>
  <si>
    <t>dochody z majątku powiatu</t>
  </si>
  <si>
    <t>pozostałe dochody</t>
  </si>
  <si>
    <t>Dotacje celowe na zadania z zakresu administracji rządowej</t>
  </si>
  <si>
    <t>Pozostałe dotacje</t>
  </si>
  <si>
    <t>obsługa długu publicznego - spłata odsetek</t>
  </si>
  <si>
    <t xml:space="preserve">     od zaciągniętych kredytów</t>
  </si>
  <si>
    <t xml:space="preserve">     od emisji obligacji</t>
  </si>
  <si>
    <t>Wydatki majątkowe</t>
  </si>
  <si>
    <t>WYNIK ROKU BUDŻETOWEGO</t>
  </si>
  <si>
    <t>STAN ZADŁUŻENIA POWIATU Z TYTUŁU KREDYTÓW I OBLIGACJI NA 31/12 ROKU UBIEGŁEGO</t>
  </si>
  <si>
    <t>Emisja obligacji</t>
  </si>
  <si>
    <t>Wykup obligacji</t>
  </si>
  <si>
    <t>STAN ZADŁUŻENIA POWIATU Z TYTUŁU KREDYTÓW NA 31/12 ROKU BUDŻETOWEGO</t>
  </si>
  <si>
    <t>KWOTY PRZYPADAJĄCEGO DO SPŁATY W DANYM ROKU BUDŻETOWYM RAT KREDYTÓW, WYKUP OBLIGACJI I ODSETEK ORAZ SPŁATA UDZIELONYCH PORĘCZEŃ W STOSUNKU DO DOCHODÓW</t>
  </si>
  <si>
    <t>Zadłużenie z tytułu kredytów, w tym:</t>
  </si>
  <si>
    <t>Gospodarki Zasobem Geodezyjnym i Kartograficznym</t>
  </si>
  <si>
    <t>§ 0830 - Wpływy z usług</t>
  </si>
  <si>
    <t>§ 4270 - Zakup usług remontowych</t>
  </si>
  <si>
    <t>§ 4300 - Zakup usług pozostałych</t>
  </si>
  <si>
    <t>Wyszczególnienie</t>
  </si>
  <si>
    <t>4.</t>
  </si>
  <si>
    <t>Dział</t>
  </si>
  <si>
    <t>Rozdział</t>
  </si>
  <si>
    <t>Treść</t>
  </si>
  <si>
    <t>Kwota</t>
  </si>
  <si>
    <t>Wydatki</t>
  </si>
  <si>
    <t>L.p.</t>
  </si>
  <si>
    <t>Przychody</t>
  </si>
  <si>
    <t>I.</t>
  </si>
  <si>
    <t>1.</t>
  </si>
  <si>
    <t>2.</t>
  </si>
  <si>
    <t>3.</t>
  </si>
  <si>
    <t>II.</t>
  </si>
  <si>
    <t>III.</t>
  </si>
  <si>
    <t>Nazwa jednostki</t>
  </si>
  <si>
    <t>Wyemitowane papiery wartościowe</t>
  </si>
  <si>
    <t>5.</t>
  </si>
  <si>
    <t>Kredyty</t>
  </si>
  <si>
    <t>Pożyczki</t>
  </si>
  <si>
    <t>Przyjęte depozyty</t>
  </si>
  <si>
    <t>6.</t>
  </si>
  <si>
    <t>Klasyfikacja</t>
  </si>
  <si>
    <t>przychodów i rozchodów</t>
  </si>
  <si>
    <t>Planowane dochody</t>
  </si>
  <si>
    <t>Planowane wydatki</t>
  </si>
  <si>
    <t>Nadwyżka budżetu z lat ubiegłych</t>
  </si>
  <si>
    <t>Wykup papierów wartościowych</t>
  </si>
  <si>
    <t>Spłata kredytu</t>
  </si>
  <si>
    <t>7.</t>
  </si>
  <si>
    <t>Dochody ogółem</t>
  </si>
  <si>
    <t>Plan przychodów i wydatków Powiatowego Funduszu</t>
  </si>
  <si>
    <t>IV.</t>
  </si>
  <si>
    <t>Stan funduszy na początek roku, w tym:</t>
  </si>
  <si>
    <t>Stan funduszy na koniec roku, w tym:</t>
  </si>
  <si>
    <t>- zobowiązania</t>
  </si>
  <si>
    <t>- należności</t>
  </si>
  <si>
    <t>- środki pieniężne</t>
  </si>
  <si>
    <t>8.</t>
  </si>
  <si>
    <t>Przychody ogółem:</t>
  </si>
  <si>
    <t>Spłaty pożyczek udzielonych</t>
  </si>
  <si>
    <t>Prywatyzacja majątku j.s.t.</t>
  </si>
  <si>
    <t>Rozchody ogółem:</t>
  </si>
  <si>
    <t>Rozchody z tytułu innych rozliczeń</t>
  </si>
  <si>
    <t>§ 992</t>
  </si>
  <si>
    <t>§ 995</t>
  </si>
  <si>
    <t>§ 994</t>
  </si>
  <si>
    <t>§ 982</t>
  </si>
  <si>
    <t>Spłaty pożyczek</t>
  </si>
  <si>
    <t>§ 952</t>
  </si>
  <si>
    <t>§ 955</t>
  </si>
  <si>
    <t xml:space="preserve">§ od 941 do 944 </t>
  </si>
  <si>
    <t>§ 957</t>
  </si>
  <si>
    <t>Nadwyżka/Deficyt    I  - II</t>
  </si>
  <si>
    <t xml:space="preserve">Pożyczki </t>
  </si>
  <si>
    <t>V.</t>
  </si>
  <si>
    <t>VI.</t>
  </si>
  <si>
    <t>VII.</t>
  </si>
  <si>
    <t>Wydatki nie znajdujące pokrycia w planowanych dochodach (II - VI)</t>
  </si>
  <si>
    <t>VIII.</t>
  </si>
  <si>
    <t>Na pokrycie wydatków nie znajdujących pokrycia w planowanych dochodach planuje się przychody (III)</t>
  </si>
  <si>
    <t>Finansowanie III - IV</t>
  </si>
  <si>
    <t>Dochody przeznaczone na pokrycie wydatków (I - V)</t>
  </si>
  <si>
    <t>(w złotych)</t>
  </si>
  <si>
    <t>Nazwa zadania</t>
  </si>
  <si>
    <t>§ 2960 - Przelewy redystrybucyjne</t>
  </si>
  <si>
    <t>w złotych</t>
  </si>
  <si>
    <t>§ 991</t>
  </si>
  <si>
    <t>Z dochodów przeznacza się na spłatę kredytów i pożyczek (IV)</t>
  </si>
  <si>
    <t>Lp.</t>
  </si>
  <si>
    <t>Subwencje</t>
  </si>
  <si>
    <t>Dotacje celowe na zadania własne</t>
  </si>
  <si>
    <t>I+II</t>
  </si>
  <si>
    <t>RAZEM</t>
  </si>
  <si>
    <t>§ 2440 - Dotacje przekazane z funduszy celowych na reaizację zadań bieżących dla jednostek sektora finansów publicznych</t>
  </si>
  <si>
    <t>§ 6120  - wydatki na zakupy inwestycyjne funduszy celowych</t>
  </si>
  <si>
    <t>§ 6260  - Dotacje  z funduszy celowych na finansowanie lub dofinansowanie kosztów realizacji inwestycji i zakupów inwestycyjnych jednostek sektora finansów publicznych</t>
  </si>
  <si>
    <t>§ 2450 - Dotacje przekazane z funduszy celowych na realizację zadań bieżących dla jednostek nie zaliczanych do sektora finansów publicznych</t>
  </si>
  <si>
    <t>§ 4210 - Zakup materiałów i wyposażenia</t>
  </si>
  <si>
    <t>§ 6270  - Dotacje  z funduszy celowych na finansowanie lub dofinansowanie kosztów realizacji inwestycji i zakupów inwestycyjnych jednostek nie zaliczanych do sektora finansów publicznych</t>
  </si>
  <si>
    <t>Ogółem</t>
  </si>
  <si>
    <t>w tym: dotacja                                                                                                                                        z budżetu</t>
  </si>
  <si>
    <t>w tym: wpłata                   do budżetu</t>
  </si>
  <si>
    <t>I</t>
  </si>
  <si>
    <t>-</t>
  </si>
  <si>
    <t>II</t>
  </si>
  <si>
    <t>GOSPODARSTWA POMOCNICZE  w tym:</t>
  </si>
  <si>
    <t>Zespół Szkół Warsztaty Szkolne w Lubawie,                                        ul. Kupnera 123</t>
  </si>
  <si>
    <t>Zespół Szkół Rolniczych Gospodarstwo Pomocnicze w Kisielicach, ul. Szkolna 4</t>
  </si>
  <si>
    <t>Zespól Szkół Warsztaty Szkolne w Iławie ul. Mierosławskiego 10</t>
  </si>
  <si>
    <t>Powiatowy Zarząd Dróg w Iławie</t>
  </si>
  <si>
    <t>Dom Pomocy Społecznej w Lubawie</t>
  </si>
  <si>
    <t>Zespół Szkół w Iławie, ul. Kopernika 8a</t>
  </si>
  <si>
    <t>Zespół Szkół Zawodowych w Iławie, ul. Mierosławskiego 10</t>
  </si>
  <si>
    <t>Zespół Szkół Rolniczych w Kisielicach</t>
  </si>
  <si>
    <t>9.</t>
  </si>
  <si>
    <t>Zespół Szkół Ogólnokształcących w Iławie</t>
  </si>
  <si>
    <t>10.</t>
  </si>
  <si>
    <t>Zespół Szkół w Lubawie</t>
  </si>
  <si>
    <t>Paragraf</t>
  </si>
  <si>
    <t>010</t>
  </si>
  <si>
    <t>ROLNICTWO I ŁOWIECTWO</t>
  </si>
  <si>
    <t>01005</t>
  </si>
  <si>
    <t>Prace geodezyjno-urządzeniowe na potrzeby rolnictwa</t>
  </si>
  <si>
    <t>2110</t>
  </si>
  <si>
    <t>Dotacje celowe otrzymane z budżetu państwa za zadania bieżące z zakresu administracji rządowej oraz inne zadania zlecone ustawami realizowane przez powiat</t>
  </si>
  <si>
    <t>020</t>
  </si>
  <si>
    <t>LEŚNICTWO</t>
  </si>
  <si>
    <t>02001</t>
  </si>
  <si>
    <t>Gospodarka leśna</t>
  </si>
  <si>
    <t>2460</t>
  </si>
  <si>
    <t xml:space="preserve">Środki otrzymane od pozostałych jedn.zal. do sektora finansów publicznych na realizację zadań bieżących jedn.zal. do sektora fin.publicznych </t>
  </si>
  <si>
    <t>600</t>
  </si>
  <si>
    <t>TRANSPORT I ŁĄCZNOŚĆ</t>
  </si>
  <si>
    <t>60014</t>
  </si>
  <si>
    <t>Drogi publiczne powiatowe</t>
  </si>
  <si>
    <t>0920</t>
  </si>
  <si>
    <t>Pozostałe odsetki</t>
  </si>
  <si>
    <t>700</t>
  </si>
  <si>
    <t>GOSPODARKA MIESZKANIOWA</t>
  </si>
  <si>
    <t>70005</t>
  </si>
  <si>
    <t>Gospodarka gruntami i nieruchomościami</t>
  </si>
  <si>
    <t>0830</t>
  </si>
  <si>
    <t>Wpływy z usług</t>
  </si>
  <si>
    <t>0870</t>
  </si>
  <si>
    <t xml:space="preserve">Wpływy ze sprzedaży składników majątkowych </t>
  </si>
  <si>
    <t>710</t>
  </si>
  <si>
    <t>DZIAŁALNOŚĆ USŁUGOWA</t>
  </si>
  <si>
    <t>71013</t>
  </si>
  <si>
    <t>Prace geodezyjne i kartograficzne</t>
  </si>
  <si>
    <t>71014</t>
  </si>
  <si>
    <t>Opracowania geodezyjne i kartograficzne</t>
  </si>
  <si>
    <t>71015</t>
  </si>
  <si>
    <t>Nadzór Budowlany</t>
  </si>
  <si>
    <t>6410</t>
  </si>
  <si>
    <t>750</t>
  </si>
  <si>
    <t>ADMINISTRACJA PUBLICZNA</t>
  </si>
  <si>
    <t>75011</t>
  </si>
  <si>
    <t>Urzędy Wojewódzkie</t>
  </si>
  <si>
    <t>75020</t>
  </si>
  <si>
    <t>Starostwa Powiatowe</t>
  </si>
  <si>
    <t>0420</t>
  </si>
  <si>
    <t>Wpływy z opłaty komunikacyjnej</t>
  </si>
  <si>
    <t>0690</t>
  </si>
  <si>
    <t>Wpływy z różnych opłat</t>
  </si>
  <si>
    <t>2130</t>
  </si>
  <si>
    <t>Dotacje celowe otrzymane z budżetu państwa na realizację bieżących zadań własnych powiatu</t>
  </si>
  <si>
    <t>2360</t>
  </si>
  <si>
    <t>Dochody jednostek samorządu terytorialnego związane z realizacją zadań z zakresu administracji rządowej oraz innych zadań zleconych ustawami</t>
  </si>
  <si>
    <t>6260</t>
  </si>
  <si>
    <t>Dotacje otrzymane z funduszy celowych na finansowanie lub dofinansowanie kostzów realizacji inwestycji i zakupów inwestycyjnych jednostek sektora finansów publicznych</t>
  </si>
  <si>
    <t>75045</t>
  </si>
  <si>
    <t>Komisje Poborowe</t>
  </si>
  <si>
    <t>754</t>
  </si>
  <si>
    <t>BEZPIECZEŃSTWO PUBLICZNE I OCHRONA PRZECIWPOŻAROWA</t>
  </si>
  <si>
    <t>75411</t>
  </si>
  <si>
    <t>Komendy Powiatowe Państowej Straży Pożarnej</t>
  </si>
  <si>
    <t>2310</t>
  </si>
  <si>
    <t>75414</t>
  </si>
  <si>
    <t>Obrona cywilna</t>
  </si>
  <si>
    <t>756</t>
  </si>
  <si>
    <t>75622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</si>
  <si>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</si>
  <si>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</si>
  <si>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</si>
  <si>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</si>
  <si>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</si>
  <si>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</si>
  <si>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</si>
  <si>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</si>
  <si>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</si>
  <si>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</si>
  <si>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</si>
  <si>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</si>
  <si>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</si>
  <si>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</si>
  <si>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</si>
  <si>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75832</t>
  </si>
  <si>
    <t>Część równoważąca subwencji ogólnej dla powiatów</t>
  </si>
  <si>
    <t>801</t>
  </si>
  <si>
    <t>OŚWIATA I WYCHOWANIE</t>
  </si>
  <si>
    <t>80120</t>
  </si>
  <si>
    <t>Licea Ogólnokształcące</t>
  </si>
  <si>
    <t>0750</t>
  </si>
  <si>
    <t>80130</t>
  </si>
  <si>
    <t>Szkoły zawodowe</t>
  </si>
  <si>
    <t>Dotacje celowe otrzymane z gminy za zadania bieżące realizowane na podstawie porozumień (umów) między jednostkami samorządu terytorialnego</t>
  </si>
  <si>
    <t>80140</t>
  </si>
  <si>
    <t>Centra kształcenia ustawicznego i praktycznego oraz ośrodki dokształcania zawodowego</t>
  </si>
  <si>
    <t>80195</t>
  </si>
  <si>
    <t>851</t>
  </si>
  <si>
    <t>OCHRONA ZDROWIA</t>
  </si>
  <si>
    <t>85154</t>
  </si>
  <si>
    <t>Przeciwdziałanie alkoholizmowi</t>
  </si>
  <si>
    <t>85156</t>
  </si>
  <si>
    <t>Składki na ubezpieczenie zdrowotne oraz świadczenia dla osób nie objętych obowiązkiem ubezpieczenia zdrowotnego</t>
  </si>
  <si>
    <t>852</t>
  </si>
  <si>
    <t>POMOC  SPOŁECZNA</t>
  </si>
  <si>
    <t>85201</t>
  </si>
  <si>
    <t>Placówki opiekuńczo-wychowawcze</t>
  </si>
  <si>
    <t>85202</t>
  </si>
  <si>
    <t>Domy Pomocy Społecznej</t>
  </si>
  <si>
    <t>85203</t>
  </si>
  <si>
    <t>Ośrodki wsparcia</t>
  </si>
  <si>
    <t>85204</t>
  </si>
  <si>
    <t>Rodziny zastępcze</t>
  </si>
  <si>
    <t>85218</t>
  </si>
  <si>
    <t>Powiatowe Centra Pomocy Rodzinie</t>
  </si>
  <si>
    <t>Pozostała działalność</t>
  </si>
  <si>
    <t>POZOSTAŁE ZADANIA W ZAKRESIE POLITYKI SPOŁECZNEJ</t>
  </si>
  <si>
    <t>85333</t>
  </si>
  <si>
    <t>Powiatowe Urzędy Pracy</t>
  </si>
  <si>
    <t>854</t>
  </si>
  <si>
    <t>EDUKACYJNA OPIEKA WYCHOWAWCZA</t>
  </si>
  <si>
    <t>85403</t>
  </si>
  <si>
    <t>Specjalne Ośrodki Szkolno-Wychowawcze</t>
  </si>
  <si>
    <t>85415</t>
  </si>
  <si>
    <t>Pomoc materialna dla uczniów</t>
  </si>
  <si>
    <t>85417</t>
  </si>
  <si>
    <t>Szkolne Schronisko Młodzieżowe</t>
  </si>
  <si>
    <t xml:space="preserve">                   DOCHODY - OGÓŁEM</t>
  </si>
  <si>
    <t>Dotacje celowe otrzymane z budżetu państwa na zadania bieżące z zakresu administracji rządowej oraz inne zadania zlecone ustawami realizowane przez powiat</t>
  </si>
  <si>
    <t>Prace geodezyjne i kartograficzne (nieinwestycyjne)</t>
  </si>
  <si>
    <t>Prace geodezyjnourządzeniowe na potrzeby rolnictwa</t>
  </si>
  <si>
    <t>02002</t>
  </si>
  <si>
    <t>Nadzór nad gospodarką leśną</t>
  </si>
  <si>
    <t>71035</t>
  </si>
  <si>
    <t>Cmentarze</t>
  </si>
  <si>
    <t>75018</t>
  </si>
  <si>
    <t>Urzędy marszałkowskie</t>
  </si>
  <si>
    <t>75019</t>
  </si>
  <si>
    <t>Rady Powiatów</t>
  </si>
  <si>
    <t>75095</t>
  </si>
  <si>
    <t xml:space="preserve">Komendy Powiatowe Państwowej Straży Pożarnej </t>
  </si>
  <si>
    <t>75415</t>
  </si>
  <si>
    <t>Zadania ratownictwa górskiego i wodnego</t>
  </si>
  <si>
    <t>757</t>
  </si>
  <si>
    <t>OBSŁUGA DŁUGU PUBLICZNEGO</t>
  </si>
  <si>
    <t>75702</t>
  </si>
  <si>
    <t>Obsługa papierów wartościowych i kredytów j.s.t.</t>
  </si>
  <si>
    <t>75818</t>
  </si>
  <si>
    <t>Rezerwy ogólne i celowe</t>
  </si>
  <si>
    <t>80102</t>
  </si>
  <si>
    <t>Szkoły podstawowe specjalne</t>
  </si>
  <si>
    <t>80110</t>
  </si>
  <si>
    <t>Gimnazja</t>
  </si>
  <si>
    <t>80111</t>
  </si>
  <si>
    <t>Gimnazja specjalne</t>
  </si>
  <si>
    <t>Licea ogólnokształcące</t>
  </si>
  <si>
    <t>80123</t>
  </si>
  <si>
    <t>Licea profilowane</t>
  </si>
  <si>
    <t>80134</t>
  </si>
  <si>
    <t>Szkoły zawodowe specjalne</t>
  </si>
  <si>
    <t>Centra kształcenia ustawicznego i praktycznego oraz ośrodki dokształacania zawodowego</t>
  </si>
  <si>
    <t>80146</t>
  </si>
  <si>
    <t>Dokształcanie i doskonalenie nauczycieli</t>
  </si>
  <si>
    <t>85111</t>
  </si>
  <si>
    <t xml:space="preserve">Szpitale ogólne </t>
  </si>
  <si>
    <t>Składki na ubezpieczenia zdrowotnego oraz świadczenia dla osób nie objętych obowiązkiem ubezpieczenia zdrowotnego</t>
  </si>
  <si>
    <t>85195</t>
  </si>
  <si>
    <t>POMOC SPOŁECZNA</t>
  </si>
  <si>
    <t>Placówki opiekuńczowychowawcze</t>
  </si>
  <si>
    <t xml:space="preserve">Powiatowe Centra Pomocy Rodzinie </t>
  </si>
  <si>
    <t>85220</t>
  </si>
  <si>
    <t>853</t>
  </si>
  <si>
    <t>85401</t>
  </si>
  <si>
    <t>Świetlice szkolne</t>
  </si>
  <si>
    <t>Specjalne Ośrodki SzkolnoWychowawcze</t>
  </si>
  <si>
    <t>85406</t>
  </si>
  <si>
    <t>Poradnie psychologicznopedagogiczne oraz inne poradnie specjalistyczne</t>
  </si>
  <si>
    <t>85407</t>
  </si>
  <si>
    <t>Placówki wychowania pozaszkolnego</t>
  </si>
  <si>
    <t>85410</t>
  </si>
  <si>
    <t>Internaty i bursy szkolne</t>
  </si>
  <si>
    <t>Szkolne schroniska młodzieżowe</t>
  </si>
  <si>
    <t>85446</t>
  </si>
  <si>
    <t>85495</t>
  </si>
  <si>
    <t>921</t>
  </si>
  <si>
    <t>KULTURA I OCHRONA DZIEDZICTWA NARODOWEGO</t>
  </si>
  <si>
    <t>92116</t>
  </si>
  <si>
    <t>Biblioteki</t>
  </si>
  <si>
    <t>926</t>
  </si>
  <si>
    <t>KULTURA FIZYCZNA I SPORT</t>
  </si>
  <si>
    <t>92695</t>
  </si>
  <si>
    <t>WYDATKI OGÓŁEM</t>
  </si>
  <si>
    <t>Wydatki bieżące, w tym:</t>
  </si>
  <si>
    <t>Wydatki inwestycyjne, w tym:</t>
  </si>
  <si>
    <t>Jednostki specjalistycznego poradnictwa, mieszkania chronione i ośrodki interwencji kryzysowej</t>
  </si>
  <si>
    <t xml:space="preserve">                     Załącznik Nr 1</t>
  </si>
  <si>
    <t xml:space="preserve">  Dochody i wydatki związane z realizacją zadań z zakresu administracji rządowej </t>
  </si>
  <si>
    <t>OPIEKA SPOŁECZNA</t>
  </si>
  <si>
    <t xml:space="preserve">              OGÓŁEM</t>
  </si>
  <si>
    <t>KLASYFIKACJA</t>
  </si>
  <si>
    <t>Dofinansowanie dla Samorządu Województwa Warmińsko-Mazurskiego na realizację zadań związanych z funkcjonowaniem Biura Regionalnego w Brukseli</t>
  </si>
  <si>
    <t>Prowadzenie Biblioteki Powiatowej przez Miejską Bibliotekę Publiczną w Iławie działającą w strukturze Iławskiego Centrum Kultury w Iławie</t>
  </si>
  <si>
    <t>Lata realizacji</t>
  </si>
  <si>
    <t>Nakłady poniesione do 31.XII.2004</t>
  </si>
  <si>
    <t>Pozostałe nakłady do poniesienia (8+12+13+14)</t>
  </si>
  <si>
    <t>Rok 2006</t>
  </si>
  <si>
    <t>Kredyty i pożyczki</t>
  </si>
  <si>
    <t>PZD Iława</t>
  </si>
  <si>
    <t>Rodzaj zadłużenia</t>
  </si>
  <si>
    <t xml:space="preserve">Przewidywany stan na koniec roku </t>
  </si>
  <si>
    <t>Wymagalne zobowiązania, wynikające z następujących tytułów:</t>
  </si>
  <si>
    <t xml:space="preserve">   a) ustaw</t>
  </si>
  <si>
    <t xml:space="preserve">   b) orzeczeń sądu</t>
  </si>
  <si>
    <t xml:space="preserve">   c) udzielonych poręczeń i gwarancji</t>
  </si>
  <si>
    <t xml:space="preserve">   d) innych tytułów</t>
  </si>
  <si>
    <t>Łączna kwota długu na koniec roku budżetowego</t>
  </si>
  <si>
    <t>Procentowy udział długu w dochodach</t>
  </si>
  <si>
    <t xml:space="preserve">                     Załącznik Nr 8</t>
  </si>
  <si>
    <t>Promocja zdrowia w powiecie iławskim</t>
  </si>
  <si>
    <t>Realizacja programu "Równe Szanse" polegającego na wspieraniu pomocą stypendialną studentów i uczniów szkół ponadgimnazjalnych</t>
  </si>
  <si>
    <t>Dofinansowanie imprez sportowych i rekreacyjnych dla mieszkańców powiatu</t>
  </si>
  <si>
    <t>Ogółem kwota dotacji</t>
  </si>
  <si>
    <t xml:space="preserve">                     Załącznik Nr 13</t>
  </si>
  <si>
    <t>Ochrona zdrowia</t>
  </si>
  <si>
    <t>Szpitale ogólne</t>
  </si>
  <si>
    <t xml:space="preserve">Ochrony Środowiska i Gospodarki Wodnej </t>
  </si>
  <si>
    <t>§ 0920 - Pozostałe odsetki</t>
  </si>
  <si>
    <t>Dotacja dla budżetu Miasta Katowice na pokrycie kosztów utrzymania dziecka w rodzinie zastępczej</t>
  </si>
  <si>
    <t>§ 4260 - Zakup energii</t>
  </si>
  <si>
    <t>RACHUNEK DOCHODÓW WŁASNYCH w tym:</t>
  </si>
  <si>
    <t xml:space="preserve">                     Załącznik Nr 3</t>
  </si>
  <si>
    <t xml:space="preserve"> </t>
  </si>
  <si>
    <t>6610</t>
  </si>
  <si>
    <t>0970</t>
  </si>
  <si>
    <t>0590</t>
  </si>
  <si>
    <t>Wpływy z opłat za koncesje i licencje</t>
  </si>
  <si>
    <t>Wpływy z różnych dochodów</t>
  </si>
  <si>
    <t>Gospodarstwa pomocnicze</t>
  </si>
  <si>
    <t>2380</t>
  </si>
  <si>
    <t>Wpływy do budżetu części zysku gospodarstwa pomocniczego</t>
  </si>
  <si>
    <t>2700</t>
  </si>
  <si>
    <t>Środki na dofinansowanie własnych zadań bieżących gmin, powiatów, samorządów województw pozyskane z innych źródeł</t>
  </si>
  <si>
    <t xml:space="preserve">Pozostała działaność </t>
  </si>
  <si>
    <t>80197</t>
  </si>
  <si>
    <t>803</t>
  </si>
  <si>
    <t>SZKOLNICTWO WYŻSZE</t>
  </si>
  <si>
    <t>80309</t>
  </si>
  <si>
    <t>0680</t>
  </si>
  <si>
    <t>2440</t>
  </si>
  <si>
    <t>2320</t>
  </si>
  <si>
    <t>85295</t>
  </si>
  <si>
    <t>2120</t>
  </si>
  <si>
    <t xml:space="preserve">Dotacje celowe </t>
  </si>
  <si>
    <t>na zadania zlecone</t>
  </si>
  <si>
    <t xml:space="preserve">na zadania własne </t>
  </si>
  <si>
    <t>na podstawie porozumień z organami administracji rządowej</t>
  </si>
  <si>
    <t>Środki pozyskane z innych źródeł</t>
  </si>
  <si>
    <t>Pomoc materialna dla studentów</t>
  </si>
  <si>
    <t>Dotacje celowe otrzymane z powiatu na zadania bieżące realizowane na podstawie porozumień (umów) miedzy jednostkami samorzadu terytorialnego</t>
  </si>
  <si>
    <t>Wpływy od rodziców z tytułu odpłatności za utrzymanie dzieci (wychowawnków) w placówkach opiekuńczo-wyhowawczych</t>
  </si>
  <si>
    <t>75075</t>
  </si>
  <si>
    <t xml:space="preserve">                     Załącznik Nr 4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</si>
  <si>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</si>
  <si>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</si>
  <si>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</si>
  <si>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</si>
  <si>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</si>
  <si>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Środki z budżetu krajowego</t>
  </si>
  <si>
    <t>Środki z budżetu UE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</si>
  <si>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</si>
  <si>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</si>
  <si>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</si>
  <si>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</si>
  <si>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</si>
  <si>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</si>
  <si>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</si>
  <si>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</si>
  <si>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</si>
  <si>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</si>
  <si>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</si>
  <si>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</si>
  <si>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</si>
  <si>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</si>
  <si>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</si>
  <si>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</si>
  <si>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</si>
  <si>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</si>
  <si>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1.3</t>
  </si>
  <si>
    <t>Wydatki bieżące razem:</t>
  </si>
  <si>
    <t>Ogółem (1+2)</t>
  </si>
  <si>
    <t>1.4</t>
  </si>
  <si>
    <t>DOCHODY OGÓŁEM</t>
  </si>
  <si>
    <t>SPŁATA ZOBOWIĄZAŃ (A+B+C+D)</t>
  </si>
  <si>
    <t>A.</t>
  </si>
  <si>
    <t xml:space="preserve">1. </t>
  </si>
  <si>
    <t>spłata pożyczek, kredytów krajowych</t>
  </si>
  <si>
    <t xml:space="preserve">                     Załącznik Nr 2</t>
  </si>
  <si>
    <t>- materiały</t>
  </si>
  <si>
    <t>Dział 600 Rozdział 60014</t>
  </si>
  <si>
    <t xml:space="preserve">                     Załącznik Nr 6</t>
  </si>
  <si>
    <t>Dotacje ogółem</t>
  </si>
  <si>
    <t>świadczenia społeczne</t>
  </si>
  <si>
    <t>Pochodne od wynagrodzeń</t>
  </si>
  <si>
    <t>Wynagrodzenia</t>
  </si>
  <si>
    <t xml:space="preserve">                     Załącznik Nr 7</t>
  </si>
  <si>
    <t xml:space="preserve">Dochody i wydatki związane z realizacją zadań realizowanych </t>
  </si>
  <si>
    <t>Stan środków obrotowych** na koniec roku</t>
  </si>
  <si>
    <t>§ 2650, § 2660</t>
  </si>
  <si>
    <t>inwestycje</t>
  </si>
  <si>
    <t>Zespół Placówek Szkolno-Wychowawczych w Iławie</t>
  </si>
  <si>
    <t xml:space="preserve">Plany przychodów i wydatków gospodarstw pomocniczych </t>
  </si>
  <si>
    <t>Powiatowe Centrum Kształcenia Praktycznego w Iławie</t>
  </si>
  <si>
    <t xml:space="preserve">                     Załącznik Nr 9</t>
  </si>
  <si>
    <t>Kwota dotacji</t>
  </si>
  <si>
    <t xml:space="preserve">           Dotacje celowe na zadania własne powiatu realizowane przez podmioty należące</t>
  </si>
  <si>
    <t>Ratownictwo medyczne</t>
  </si>
  <si>
    <t>Pozostałe zadania w zakresie kultury</t>
  </si>
  <si>
    <t>Dofinansowanie imprez kulturalnych o zasięgu powiatowym</t>
  </si>
  <si>
    <t>środki pochodzące z innych źródeł</t>
  </si>
  <si>
    <t>Dotacje celowe otrzymane z gminy na inwestycje i zakupy inwestycyjne realizowane na podstawie porozumień (umów) między jednostkami samorządu terytorialnego</t>
  </si>
  <si>
    <t>RAZEM:</t>
  </si>
  <si>
    <t xml:space="preserve">                     Załącznik Nr 10</t>
  </si>
  <si>
    <t xml:space="preserve">                     Załącznik Nr 11</t>
  </si>
  <si>
    <t>Przelewy redystrycyjne</t>
  </si>
  <si>
    <t>3.1.</t>
  </si>
  <si>
    <t>Odpis 10% od przychodów własnych dla funduszu centralnego</t>
  </si>
  <si>
    <t>3.2.</t>
  </si>
  <si>
    <t>Odpis 10% od przychodów własnych dla funduszu wojewódzkiego</t>
  </si>
  <si>
    <t xml:space="preserve">                     Załącznik Nr 14</t>
  </si>
  <si>
    <t>DŁUG/DOCHODY (%) (art.. 170 ust.1 u.f.p.))</t>
  </si>
  <si>
    <t>Spłaty kredytów, pozyczek do dochodów (%) (art.. 169 ust.1 u.f.p.))</t>
  </si>
  <si>
    <t>DŁUG/DOCHODY (%) (art.. 170 ust.3 u.f.p.))</t>
  </si>
  <si>
    <t>Spłaty kredytów, pozyczek do dochodów (%) (art.. 169 ust.3 u.f.p.))</t>
  </si>
  <si>
    <t xml:space="preserve">                     Załącznik Nr 14a</t>
  </si>
  <si>
    <t>6208</t>
  </si>
  <si>
    <t>Dotacje celowe otrzymane z budżetu państwa na inwestycje i zakupy inwestycyjne z zakresu administracji rządowej oraz inne zadania zlecone ustawami realizowane przez powiat</t>
  </si>
  <si>
    <t>Dotacje rozwojowe</t>
  </si>
  <si>
    <t>Gmina Miejska Lubawa - 36.200,-</t>
  </si>
  <si>
    <t>z tego</t>
  </si>
  <si>
    <t>bieżące</t>
  </si>
  <si>
    <t>majątkowe</t>
  </si>
  <si>
    <t>85311</t>
  </si>
  <si>
    <t>Rehabilitacja zawodowa i społeczna osób niepełnosprawnych</t>
  </si>
  <si>
    <t xml:space="preserve">1. Warsztaty Terapii Zajęciowej w Iławie </t>
  </si>
  <si>
    <t>2. Warsztaty Terapii Zajęciowej w Lubawie</t>
  </si>
  <si>
    <t>3. Warsztaty Terapii Zajęciowej w Suszu</t>
  </si>
  <si>
    <t>Partycypacja w kosztach utrzymania placówki opiekuńczo-wychowawczej w Kisielicach</t>
  </si>
  <si>
    <t>Partycypacja w kosztach utrzymania placówki opiekuńczo-wychowawczej w Lubawie</t>
  </si>
  <si>
    <t>Powiat Szczytno -           7.006,-zł</t>
  </si>
  <si>
    <t>A</t>
  </si>
  <si>
    <t>Priorytet 5. Infrastruktura transportowa regionalna i lokalna</t>
  </si>
  <si>
    <t>Działanie 5.2 Infrastruktura transportowa służąca rozwojowi lokalnemu</t>
  </si>
  <si>
    <t>2011 r.</t>
  </si>
  <si>
    <t>2012 r.</t>
  </si>
  <si>
    <t>2013 r.</t>
  </si>
  <si>
    <t>Przebudowa drogi powiatowej nr 1329 w Iławie, ulicy Dąbrowskiego i ul. Zalewskiej</t>
  </si>
  <si>
    <t>Rok 2010</t>
  </si>
  <si>
    <t>Dochody do przekazania do budżetu państwa lub budżetu j.s.t.</t>
  </si>
  <si>
    <t>01008</t>
  </si>
  <si>
    <t>Melioracje wodne</t>
  </si>
  <si>
    <t>§ 4170 - Wynagrodzenia bezosobowe</t>
  </si>
  <si>
    <t>§ 4430 - Rózne opłaty i składki</t>
  </si>
  <si>
    <t>§ 4700 - Szkolenia pracowników niebędących członkami korpusu służby cywilnej</t>
  </si>
  <si>
    <t>§ 4740 - Zakup materiałów papierniczych do sprzętu drukarskiego i urządzeń kserograficznych</t>
  </si>
  <si>
    <t>§ 4750 - Zakup akcesoriów komputerowych, w tym programów i licencji</t>
  </si>
  <si>
    <t>DOCHODY OD OSÓB PRAWNYCH, OD OSÓB FIZYCZNYCH I OD INNYCH JEDNOSTEK NIEPOSIADAJĄCYCH OSOBOWOŚCI PRAWNEJ ORAZ WYDATKI ZWIĄZANE Z ICH POBOREM</t>
  </si>
  <si>
    <t>Komenda Powiatowa Państwowej Straży Pożarnej</t>
  </si>
  <si>
    <t xml:space="preserve">Nazwa zadania inwestycyjnego </t>
  </si>
  <si>
    <t>Działania wspomagające szkoleniowo-informacyjnie organizacji pozarządowych</t>
  </si>
  <si>
    <r>
      <t xml:space="preserve">                   </t>
    </r>
    <r>
      <rPr>
        <b/>
        <sz val="10"/>
        <rFont val="Arial CE"/>
        <family val="2"/>
      </rPr>
      <t>w tym:</t>
    </r>
  </si>
  <si>
    <r>
      <t xml:space="preserve">                   </t>
    </r>
    <r>
      <rPr>
        <b/>
        <u val="single"/>
        <sz val="14"/>
        <rFont val="Arial CE"/>
        <family val="2"/>
      </rPr>
      <t xml:space="preserve">PLAN DOCHODÓW BUDŻETU POWIATU IŁAWSKIEGO </t>
    </r>
  </si>
  <si>
    <t>Zakup usług remontowych</t>
  </si>
  <si>
    <t>Wydatki inwestycyjne jednostek budżetowych</t>
  </si>
  <si>
    <t>Wynagrodzenia osobowe pracowników</t>
  </si>
  <si>
    <t>Świadczenia społeczne</t>
  </si>
  <si>
    <t xml:space="preserve">                                      do Uchwały Rady Powiatu Nr XXIII/ 159 /08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</si>
</sst>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"/>
    <numFmt numFmtId="166" formatCode="#,##0.000"/>
    <numFmt numFmtId="167" formatCode="0.0"/>
    <numFmt numFmtId="168" formatCode="0.000%"/>
    <numFmt numFmtId="169" formatCode="0.0000%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#,##0.0000"/>
    <numFmt numFmtId="175" formatCode="#,##0.00\ _z_ł"/>
  </numFmts>
  <fonts count="55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1"/>
      <name val="Times New Roman CE"/>
      <family val="1"/>
    </font>
    <font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u val="single"/>
      <sz val="14"/>
      <name val="Arial CE"/>
      <family val="2"/>
    </font>
    <font>
      <b/>
      <u val="single"/>
      <sz val="13"/>
      <name val="Arial CE"/>
      <family val="2"/>
    </font>
    <font>
      <b/>
      <sz val="9"/>
      <name val="Arial CE"/>
      <family val="2"/>
    </font>
    <font>
      <b/>
      <sz val="16"/>
      <name val="Arial CE"/>
      <family val="2"/>
    </font>
    <font>
      <b/>
      <u val="single"/>
      <sz val="16"/>
      <name val="Arial CE"/>
      <family val="2"/>
    </font>
    <font>
      <sz val="10"/>
      <color indexed="8"/>
      <name val="MS Sans Serif"/>
      <family val="0"/>
    </font>
    <font>
      <b/>
      <u val="single"/>
      <sz val="12"/>
      <name val="Arial CE"/>
      <family val="2"/>
    </font>
    <font>
      <sz val="10"/>
      <color indexed="10"/>
      <name val="Arial CE"/>
      <family val="2"/>
    </font>
    <font>
      <sz val="13"/>
      <name val="Arial CE"/>
      <family val="2"/>
    </font>
    <font>
      <b/>
      <sz val="13"/>
      <name val="Arial CE"/>
      <family val="2"/>
    </font>
    <font>
      <sz val="10"/>
      <color indexed="9"/>
      <name val="Arial CE"/>
      <family val="2"/>
    </font>
    <font>
      <b/>
      <sz val="12"/>
      <color indexed="9"/>
      <name val="Arial CE"/>
      <family val="2"/>
    </font>
    <font>
      <b/>
      <sz val="8"/>
      <color indexed="9"/>
      <name val="Arial CE"/>
      <family val="2"/>
    </font>
    <font>
      <sz val="12"/>
      <color indexed="9"/>
      <name val="Arial CE"/>
      <family val="2"/>
    </font>
    <font>
      <sz val="8"/>
      <color indexed="9"/>
      <name val="Arial CE"/>
      <family val="2"/>
    </font>
    <font>
      <b/>
      <sz val="10"/>
      <color indexed="10"/>
      <name val="Arial CE"/>
      <family val="2"/>
    </font>
    <font>
      <b/>
      <sz val="8"/>
      <name val="Arial"/>
      <family val="2"/>
    </font>
    <font>
      <sz val="11"/>
      <name val="Arial"/>
      <family val="0"/>
    </font>
    <font>
      <sz val="8"/>
      <name val="Arial"/>
      <family val="0"/>
    </font>
    <font>
      <sz val="14"/>
      <color indexed="10"/>
      <name val="Arial CE"/>
      <family val="2"/>
    </font>
    <font>
      <sz val="13"/>
      <color indexed="10"/>
      <name val="Arial CE"/>
      <family val="2"/>
    </font>
    <font>
      <b/>
      <u val="single"/>
      <sz val="16"/>
      <color indexed="10"/>
      <name val="Arial CE"/>
      <family val="2"/>
    </font>
    <font>
      <b/>
      <u val="single"/>
      <sz val="14"/>
      <color indexed="10"/>
      <name val="Arial CE"/>
      <family val="2"/>
    </font>
    <font>
      <sz val="8"/>
      <color indexed="10"/>
      <name val="Arial"/>
      <family val="0"/>
    </font>
    <font>
      <sz val="11"/>
      <color indexed="10"/>
      <name val="Arial CE"/>
      <family val="2"/>
    </font>
    <font>
      <sz val="9"/>
      <name val="Arial"/>
      <family val="2"/>
    </font>
    <font>
      <b/>
      <sz val="9"/>
      <color indexed="10"/>
      <name val="Arial CE"/>
      <family val="2"/>
    </font>
    <font>
      <sz val="8"/>
      <color indexed="10"/>
      <name val="Arial CE"/>
      <family val="2"/>
    </font>
    <font>
      <b/>
      <sz val="8"/>
      <color indexed="10"/>
      <name val="Arial CE"/>
      <family val="2"/>
    </font>
    <font>
      <b/>
      <sz val="12"/>
      <color indexed="10"/>
      <name val="Arial CE"/>
      <family val="2"/>
    </font>
    <font>
      <b/>
      <sz val="8"/>
      <color indexed="10"/>
      <name val="Arial"/>
      <family val="2"/>
    </font>
    <font>
      <sz val="11"/>
      <color indexed="10"/>
      <name val="Times New Roman CE"/>
      <family val="1"/>
    </font>
    <font>
      <sz val="12"/>
      <color indexed="10"/>
      <name val="Arial CE"/>
      <family val="2"/>
    </font>
    <font>
      <sz val="9"/>
      <color indexed="10"/>
      <name val="Arial CE"/>
      <family val="0"/>
    </font>
    <font>
      <b/>
      <sz val="11"/>
      <name val="Times New Roman CE"/>
      <family val="1"/>
    </font>
    <font>
      <sz val="6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7"/>
      <name val="Arial"/>
      <family val="0"/>
    </font>
    <font>
      <sz val="6"/>
      <name val="Arial"/>
      <family val="0"/>
    </font>
    <font>
      <b/>
      <sz val="10"/>
      <color indexed="9"/>
      <name val="Arial CE"/>
      <family val="2"/>
    </font>
    <font>
      <b/>
      <sz val="10"/>
      <name val="Arial"/>
      <family val="2"/>
    </font>
    <font>
      <b/>
      <sz val="9"/>
      <color indexed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4" fontId="7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Alignment="1">
      <alignment/>
    </xf>
    <xf numFmtId="4" fontId="1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16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 vertical="center"/>
    </xf>
    <xf numFmtId="4" fontId="0" fillId="0" borderId="0" xfId="0" applyNumberFormat="1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4" fontId="0" fillId="0" borderId="0" xfId="0" applyNumberFormat="1" applyFont="1" applyFill="1" applyAlignment="1">
      <alignment horizontal="right"/>
    </xf>
    <xf numFmtId="3" fontId="0" fillId="0" borderId="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8" fillId="0" borderId="0" xfId="0" applyNumberFormat="1" applyFont="1" applyAlignment="1">
      <alignment horizontal="lef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4" fontId="23" fillId="0" borderId="0" xfId="0" applyNumberFormat="1" applyFont="1" applyAlignment="1">
      <alignment horizontal="left"/>
    </xf>
    <xf numFmtId="0" fontId="24" fillId="0" borderId="0" xfId="0" applyFont="1" applyAlignment="1">
      <alignment/>
    </xf>
    <xf numFmtId="0" fontId="2" fillId="0" borderId="0" xfId="0" applyFont="1" applyAlignment="1">
      <alignment horizontal="left"/>
    </xf>
    <xf numFmtId="4" fontId="25" fillId="0" borderId="0" xfId="0" applyNumberFormat="1" applyFont="1" applyAlignment="1">
      <alignment horizontal="left"/>
    </xf>
    <xf numFmtId="0" fontId="26" fillId="0" borderId="0" xfId="0" applyFont="1" applyAlignment="1">
      <alignment/>
    </xf>
    <xf numFmtId="0" fontId="1" fillId="0" borderId="0" xfId="0" applyFont="1" applyAlignment="1">
      <alignment horizontal="left"/>
    </xf>
    <xf numFmtId="0" fontId="26" fillId="0" borderId="0" xfId="0" applyFont="1" applyAlignment="1">
      <alignment vertical="top"/>
    </xf>
    <xf numFmtId="0" fontId="22" fillId="0" borderId="0" xfId="0" applyFont="1" applyAlignment="1">
      <alignment/>
    </xf>
    <xf numFmtId="0" fontId="10" fillId="0" borderId="0" xfId="0" applyFont="1" applyAlignment="1">
      <alignment vertical="top"/>
    </xf>
    <xf numFmtId="0" fontId="6" fillId="0" borderId="1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 vertical="center"/>
    </xf>
    <xf numFmtId="164" fontId="7" fillId="0" borderId="0" xfId="0" applyNumberFormat="1" applyFont="1" applyAlignment="1">
      <alignment horizontal="center" vertical="center"/>
    </xf>
    <xf numFmtId="4" fontId="5" fillId="0" borderId="0" xfId="0" applyNumberFormat="1" applyFont="1" applyFill="1" applyAlignment="1">
      <alignment horizontal="left"/>
    </xf>
    <xf numFmtId="4" fontId="9" fillId="0" borderId="0" xfId="0" applyNumberFormat="1" applyFont="1" applyFill="1" applyAlignment="1">
      <alignment horizontal="left"/>
    </xf>
    <xf numFmtId="4" fontId="20" fillId="0" borderId="0" xfId="0" applyNumberFormat="1" applyFont="1" applyFill="1" applyAlignment="1">
      <alignment horizontal="left"/>
    </xf>
    <xf numFmtId="4" fontId="7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27" fillId="0" borderId="10" xfId="0" applyNumberFormat="1" applyFont="1" applyFill="1" applyBorder="1" applyAlignment="1">
      <alignment vertical="center"/>
    </xf>
    <xf numFmtId="4" fontId="5" fillId="0" borderId="0" xfId="0" applyNumberFormat="1" applyFont="1" applyAlignment="1">
      <alignment horizontal="left"/>
    </xf>
    <xf numFmtId="49" fontId="4" fillId="0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49" fontId="0" fillId="0" borderId="0" xfId="0" applyNumberFormat="1" applyFill="1" applyAlignment="1">
      <alignment/>
    </xf>
    <xf numFmtId="49" fontId="3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4" fillId="0" borderId="16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30" fillId="0" borderId="0" xfId="18" applyFont="1">
      <alignment/>
      <protection/>
    </xf>
    <xf numFmtId="0" fontId="10" fillId="0" borderId="0" xfId="0" applyFont="1" applyFill="1" applyBorder="1" applyAlignment="1">
      <alignment horizontal="left" vertical="center"/>
    </xf>
    <xf numFmtId="4" fontId="6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 horizontal="right" vertical="center"/>
    </xf>
    <xf numFmtId="4" fontId="31" fillId="0" borderId="0" xfId="0" applyNumberFormat="1" applyFont="1" applyFill="1" applyAlignment="1">
      <alignment horizontal="left"/>
    </xf>
    <xf numFmtId="4" fontId="32" fillId="0" borderId="0" xfId="0" applyNumberFormat="1" applyFont="1" applyFill="1" applyAlignment="1">
      <alignment horizontal="left"/>
    </xf>
    <xf numFmtId="4" fontId="19" fillId="0" borderId="0" xfId="0" applyNumberFormat="1" applyFont="1" applyFill="1" applyAlignment="1">
      <alignment vertical="center"/>
    </xf>
    <xf numFmtId="4" fontId="33" fillId="0" borderId="0" xfId="0" applyNumberFormat="1" applyFont="1" applyFill="1" applyAlignment="1">
      <alignment horizontal="right" vertical="center"/>
    </xf>
    <xf numFmtId="2" fontId="0" fillId="0" borderId="16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>
      <alignment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4" fontId="34" fillId="0" borderId="0" xfId="0" applyNumberFormat="1" applyFont="1" applyFill="1" applyAlignment="1">
      <alignment horizontal="right" vertical="center"/>
    </xf>
    <xf numFmtId="4" fontId="31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/>
    </xf>
    <xf numFmtId="49" fontId="12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right" vertical="center"/>
    </xf>
    <xf numFmtId="4" fontId="0" fillId="0" borderId="0" xfId="0" applyNumberFormat="1" applyFont="1" applyFill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0" fontId="20" fillId="0" borderId="0" xfId="0" applyFont="1" applyAlignment="1">
      <alignment vertical="center"/>
    </xf>
    <xf numFmtId="4" fontId="0" fillId="0" borderId="24" xfId="0" applyNumberFormat="1" applyFont="1" applyBorder="1" applyAlignment="1">
      <alignment horizontal="right" vertical="center" wrapText="1"/>
    </xf>
    <xf numFmtId="4" fontId="0" fillId="0" borderId="18" xfId="0" applyNumberFormat="1" applyFont="1" applyBorder="1" applyAlignment="1">
      <alignment horizontal="right" vertical="center" wrapText="1"/>
    </xf>
    <xf numFmtId="4" fontId="0" fillId="0" borderId="20" xfId="0" applyNumberFormat="1" applyFont="1" applyBorder="1" applyAlignment="1">
      <alignment horizontal="right" vertical="center" wrapText="1"/>
    </xf>
    <xf numFmtId="4" fontId="19" fillId="0" borderId="21" xfId="0" applyNumberFormat="1" applyFont="1" applyBorder="1" applyAlignment="1">
      <alignment horizontal="right" vertical="center" wrapText="1"/>
    </xf>
    <xf numFmtId="4" fontId="19" fillId="0" borderId="17" xfId="0" applyNumberFormat="1" applyFont="1" applyBorder="1" applyAlignment="1">
      <alignment horizontal="right" vertical="center" wrapText="1"/>
    </xf>
    <xf numFmtId="4" fontId="19" fillId="0" borderId="19" xfId="0" applyNumberFormat="1" applyFont="1" applyBorder="1" applyAlignment="1">
      <alignment horizontal="right" vertical="center" wrapText="1"/>
    </xf>
    <xf numFmtId="4" fontId="19" fillId="0" borderId="22" xfId="0" applyNumberFormat="1" applyFont="1" applyBorder="1" applyAlignment="1">
      <alignment horizontal="right" vertical="center" wrapText="1"/>
    </xf>
    <xf numFmtId="4" fontId="19" fillId="0" borderId="16" xfId="0" applyNumberFormat="1" applyFont="1" applyBorder="1" applyAlignment="1">
      <alignment horizontal="right" vertical="center" wrapText="1"/>
    </xf>
    <xf numFmtId="4" fontId="19" fillId="0" borderId="23" xfId="0" applyNumberFormat="1" applyFont="1" applyBorder="1" applyAlignment="1">
      <alignment horizontal="right" vertical="center" wrapText="1"/>
    </xf>
    <xf numFmtId="4" fontId="10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36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27" fillId="0" borderId="17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19" fillId="0" borderId="21" xfId="0" applyFont="1" applyBorder="1" applyAlignment="1">
      <alignment horizontal="center" vertical="top" wrapText="1"/>
    </xf>
    <xf numFmtId="0" fontId="19" fillId="0" borderId="17" xfId="0" applyFont="1" applyBorder="1" applyAlignment="1">
      <alignment wrapText="1"/>
    </xf>
    <xf numFmtId="0" fontId="27" fillId="0" borderId="21" xfId="0" applyFont="1" applyFill="1" applyBorder="1" applyAlignment="1">
      <alignment horizontal="center" vertical="center" wrapText="1"/>
    </xf>
    <xf numFmtId="0" fontId="35" fillId="0" borderId="0" xfId="18" applyFont="1">
      <alignment/>
      <protection/>
    </xf>
    <xf numFmtId="0" fontId="35" fillId="0" borderId="10" xfId="18" applyFont="1" applyBorder="1">
      <alignment/>
      <protection/>
    </xf>
    <xf numFmtId="0" fontId="42" fillId="0" borderId="0" xfId="18" applyFont="1">
      <alignment/>
      <protection/>
    </xf>
    <xf numFmtId="0" fontId="41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2" borderId="27" xfId="0" applyFont="1" applyFill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49" fontId="19" fillId="0" borderId="0" xfId="0" applyNumberFormat="1" applyFont="1" applyAlignment="1">
      <alignment/>
    </xf>
    <xf numFmtId="4" fontId="19" fillId="0" borderId="0" xfId="0" applyNumberFormat="1" applyFont="1" applyAlignment="1">
      <alignment horizontal="left"/>
    </xf>
    <xf numFmtId="4" fontId="19" fillId="0" borderId="0" xfId="0" applyNumberFormat="1" applyFont="1" applyAlignment="1">
      <alignment/>
    </xf>
    <xf numFmtId="4" fontId="19" fillId="0" borderId="0" xfId="0" applyNumberFormat="1" applyFont="1" applyAlignment="1">
      <alignment horizontal="right"/>
    </xf>
    <xf numFmtId="0" fontId="44" fillId="0" borderId="0" xfId="0" applyFont="1" applyAlignment="1">
      <alignment/>
    </xf>
    <xf numFmtId="49" fontId="27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3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/>
    </xf>
    <xf numFmtId="0" fontId="45" fillId="0" borderId="0" xfId="0" applyFont="1" applyAlignment="1">
      <alignment vertical="center"/>
    </xf>
    <xf numFmtId="0" fontId="38" fillId="0" borderId="0" xfId="0" applyFont="1" applyAlignment="1">
      <alignment horizont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25" xfId="0" applyFont="1" applyBorder="1" applyAlignment="1">
      <alignment horizontal="center" vertical="center"/>
    </xf>
    <xf numFmtId="0" fontId="44" fillId="0" borderId="35" xfId="0" applyFont="1" applyBorder="1" applyAlignment="1">
      <alignment horizontal="left" vertical="center"/>
    </xf>
    <xf numFmtId="164" fontId="44" fillId="0" borderId="35" xfId="0" applyNumberFormat="1" applyFont="1" applyBorder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4" fontId="19" fillId="0" borderId="10" xfId="0" applyNumberFormat="1" applyFont="1" applyFill="1" applyBorder="1" applyAlignment="1">
      <alignment/>
    </xf>
    <xf numFmtId="4" fontId="27" fillId="0" borderId="10" xfId="0" applyNumberFormat="1" applyFont="1" applyFill="1" applyBorder="1" applyAlignment="1">
      <alignment horizontal="right"/>
    </xf>
    <xf numFmtId="49" fontId="4" fillId="0" borderId="3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/>
    </xf>
    <xf numFmtId="4" fontId="14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right"/>
    </xf>
    <xf numFmtId="4" fontId="9" fillId="0" borderId="0" xfId="0" applyNumberFormat="1" applyFont="1" applyFill="1" applyAlignment="1">
      <alignment horizontal="right"/>
    </xf>
    <xf numFmtId="4" fontId="4" fillId="0" borderId="10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4" fontId="36" fillId="0" borderId="0" xfId="0" applyNumberFormat="1" applyFont="1" applyAlignment="1">
      <alignment vertical="center"/>
    </xf>
    <xf numFmtId="0" fontId="14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/>
    </xf>
    <xf numFmtId="0" fontId="0" fillId="2" borderId="17" xfId="0" applyFont="1" applyFill="1" applyBorder="1" applyAlignment="1">
      <alignment/>
    </xf>
    <xf numFmtId="0" fontId="14" fillId="2" borderId="18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4" fontId="5" fillId="2" borderId="10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2" borderId="10" xfId="0" applyFont="1" applyFill="1" applyBorder="1" applyAlignment="1">
      <alignment vertical="center" wrapText="1"/>
    </xf>
    <xf numFmtId="4" fontId="4" fillId="2" borderId="10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 wrapText="1"/>
    </xf>
    <xf numFmtId="4" fontId="0" fillId="2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4" fontId="6" fillId="0" borderId="40" xfId="0" applyNumberFormat="1" applyFont="1" applyFill="1" applyBorder="1" applyAlignment="1">
      <alignment horizontal="right" vertical="center"/>
    </xf>
    <xf numFmtId="4" fontId="45" fillId="0" borderId="0" xfId="0" applyNumberFormat="1" applyFont="1" applyAlignment="1">
      <alignment vertical="center"/>
    </xf>
    <xf numFmtId="4" fontId="6" fillId="0" borderId="41" xfId="0" applyNumberFormat="1" applyFont="1" applyFill="1" applyBorder="1" applyAlignment="1">
      <alignment horizontal="right" vertical="center"/>
    </xf>
    <xf numFmtId="0" fontId="6" fillId="0" borderId="18" xfId="0" applyFont="1" applyBorder="1" applyAlignment="1">
      <alignment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right" vertical="center" wrapText="1"/>
    </xf>
    <xf numFmtId="4" fontId="0" fillId="0" borderId="17" xfId="0" applyNumberFormat="1" applyFont="1" applyBorder="1" applyAlignment="1">
      <alignment horizontal="right" vertical="center" wrapText="1"/>
    </xf>
    <xf numFmtId="4" fontId="0" fillId="0" borderId="19" xfId="0" applyNumberFormat="1" applyFont="1" applyBorder="1" applyAlignment="1">
      <alignment horizontal="right" vertical="center" wrapText="1"/>
    </xf>
    <xf numFmtId="4" fontId="0" fillId="0" borderId="22" xfId="0" applyNumberFormat="1" applyFont="1" applyBorder="1" applyAlignment="1">
      <alignment horizontal="right" vertical="center" wrapText="1"/>
    </xf>
    <xf numFmtId="4" fontId="0" fillId="0" borderId="16" xfId="0" applyNumberFormat="1" applyFont="1" applyBorder="1" applyAlignment="1">
      <alignment horizontal="right" vertical="center" wrapText="1"/>
    </xf>
    <xf numFmtId="4" fontId="0" fillId="0" borderId="23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14" fillId="0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30" fillId="0" borderId="3" xfId="18" applyFont="1" applyFill="1" applyBorder="1">
      <alignment/>
      <protection/>
    </xf>
    <xf numFmtId="3" fontId="30" fillId="0" borderId="10" xfId="18" applyNumberFormat="1" applyFont="1" applyBorder="1">
      <alignment/>
      <protection/>
    </xf>
    <xf numFmtId="0" fontId="30" fillId="0" borderId="10" xfId="18" applyFont="1" applyFill="1" applyBorder="1">
      <alignment/>
      <protection/>
    </xf>
    <xf numFmtId="3" fontId="30" fillId="0" borderId="16" xfId="18" applyNumberFormat="1" applyFont="1" applyBorder="1" applyAlignment="1">
      <alignment horizontal="center"/>
      <protection/>
    </xf>
    <xf numFmtId="3" fontId="30" fillId="0" borderId="18" xfId="18" applyNumberFormat="1" applyFont="1" applyBorder="1">
      <alignment/>
      <protection/>
    </xf>
    <xf numFmtId="3" fontId="30" fillId="0" borderId="8" xfId="18" applyNumberFormat="1" applyFont="1" applyBorder="1">
      <alignment/>
      <protection/>
    </xf>
    <xf numFmtId="3" fontId="30" fillId="0" borderId="24" xfId="18" applyNumberFormat="1" applyFont="1" applyBorder="1" applyAlignment="1">
      <alignment horizontal="center"/>
      <protection/>
    </xf>
    <xf numFmtId="3" fontId="30" fillId="0" borderId="18" xfId="18" applyNumberFormat="1" applyFont="1" applyBorder="1" applyAlignment="1">
      <alignment horizontal="center"/>
      <protection/>
    </xf>
    <xf numFmtId="3" fontId="30" fillId="0" borderId="20" xfId="18" applyNumberFormat="1" applyFont="1" applyBorder="1" applyAlignment="1">
      <alignment horizontal="center"/>
      <protection/>
    </xf>
    <xf numFmtId="3" fontId="30" fillId="0" borderId="21" xfId="18" applyNumberFormat="1" applyFont="1" applyBorder="1" applyAlignment="1">
      <alignment horizontal="center"/>
      <protection/>
    </xf>
    <xf numFmtId="3" fontId="30" fillId="0" borderId="17" xfId="18" applyNumberFormat="1" applyFont="1" applyBorder="1" applyAlignment="1">
      <alignment horizontal="center"/>
      <protection/>
    </xf>
    <xf numFmtId="3" fontId="30" fillId="0" borderId="19" xfId="18" applyNumberFormat="1" applyFont="1" applyBorder="1" applyAlignment="1">
      <alignment horizontal="center"/>
      <protection/>
    </xf>
    <xf numFmtId="3" fontId="30" fillId="0" borderId="22" xfId="18" applyNumberFormat="1" applyFont="1" applyBorder="1" applyAlignment="1">
      <alignment horizontal="center"/>
      <protection/>
    </xf>
    <xf numFmtId="3" fontId="30" fillId="0" borderId="23" xfId="18" applyNumberFormat="1" applyFont="1" applyBorder="1" applyAlignment="1">
      <alignment horizontal="center"/>
      <protection/>
    </xf>
    <xf numFmtId="0" fontId="30" fillId="0" borderId="10" xfId="18" applyFont="1" applyBorder="1">
      <alignment/>
      <protection/>
    </xf>
    <xf numFmtId="0" fontId="4" fillId="0" borderId="18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/>
    </xf>
    <xf numFmtId="0" fontId="19" fillId="0" borderId="18" xfId="0" applyFont="1" applyBorder="1" applyAlignment="1">
      <alignment wrapText="1"/>
    </xf>
    <xf numFmtId="3" fontId="1" fillId="0" borderId="8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30" fillId="0" borderId="10" xfId="18" applyFont="1" applyBorder="1" applyAlignment="1">
      <alignment horizontal="center"/>
      <protection/>
    </xf>
    <xf numFmtId="3" fontId="46" fillId="0" borderId="25" xfId="0" applyNumberFormat="1" applyFont="1" applyBorder="1" applyAlignment="1">
      <alignment vertical="center"/>
    </xf>
    <xf numFmtId="3" fontId="46" fillId="0" borderId="26" xfId="0" applyNumberFormat="1" applyFont="1" applyBorder="1" applyAlignment="1">
      <alignment vertical="center"/>
    </xf>
    <xf numFmtId="3" fontId="46" fillId="2" borderId="27" xfId="0" applyNumberFormat="1" applyFont="1" applyFill="1" applyBorder="1" applyAlignment="1">
      <alignment vertical="center"/>
    </xf>
    <xf numFmtId="3" fontId="46" fillId="0" borderId="28" xfId="0" applyNumberFormat="1" applyFont="1" applyBorder="1" applyAlignment="1">
      <alignment vertical="center"/>
    </xf>
    <xf numFmtId="3" fontId="8" fillId="0" borderId="43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3" fontId="8" fillId="0" borderId="44" xfId="0" applyNumberFormat="1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3" fontId="8" fillId="0" borderId="45" xfId="0" applyNumberFormat="1" applyFont="1" applyBorder="1" applyAlignment="1">
      <alignment vertical="center"/>
    </xf>
    <xf numFmtId="0" fontId="14" fillId="0" borderId="28" xfId="0" applyFont="1" applyFill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46" fillId="0" borderId="28" xfId="0" applyFont="1" applyBorder="1" applyAlignment="1">
      <alignment vertical="center"/>
    </xf>
    <xf numFmtId="0" fontId="8" fillId="0" borderId="44" xfId="0" applyFont="1" applyBorder="1" applyAlignment="1">
      <alignment horizontal="center" vertical="center"/>
    </xf>
    <xf numFmtId="0" fontId="8" fillId="0" borderId="46" xfId="0" applyFont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0" fontId="8" fillId="0" borderId="47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8" fillId="0" borderId="43" xfId="0" applyFont="1" applyBorder="1" applyAlignment="1">
      <alignment horizontal="center" vertical="center"/>
    </xf>
    <xf numFmtId="0" fontId="8" fillId="0" borderId="48" xfId="0" applyFont="1" applyBorder="1" applyAlignment="1">
      <alignment vertical="center"/>
    </xf>
    <xf numFmtId="0" fontId="46" fillId="0" borderId="49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8" fillId="0" borderId="26" xfId="0" applyFont="1" applyBorder="1" applyAlignment="1">
      <alignment vertical="center" wrapText="1"/>
    </xf>
    <xf numFmtId="0" fontId="8" fillId="0" borderId="45" xfId="0" applyFont="1" applyBorder="1" applyAlignment="1">
      <alignment horizontal="center" vertical="center"/>
    </xf>
    <xf numFmtId="0" fontId="8" fillId="0" borderId="45" xfId="0" applyFont="1" applyBorder="1" applyAlignment="1">
      <alignment vertical="center"/>
    </xf>
    <xf numFmtId="0" fontId="49" fillId="0" borderId="27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" fontId="5" fillId="0" borderId="0" xfId="0" applyNumberFormat="1" applyFont="1" applyAlignment="1">
      <alignment horizontal="right"/>
    </xf>
    <xf numFmtId="1" fontId="10" fillId="0" borderId="10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/>
    </xf>
    <xf numFmtId="49" fontId="4" fillId="2" borderId="18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22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2" xfId="0" applyFont="1" applyBorder="1" applyAlignment="1">
      <alignment vertical="center" wrapText="1"/>
    </xf>
    <xf numFmtId="2" fontId="0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 wrapText="1"/>
    </xf>
    <xf numFmtId="4" fontId="5" fillId="2" borderId="39" xfId="0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164" fontId="5" fillId="0" borderId="28" xfId="0" applyNumberFormat="1" applyFont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  <xf numFmtId="164" fontId="7" fillId="0" borderId="26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 quotePrefix="1">
      <alignment horizontal="left" vertical="center" indent="1"/>
    </xf>
    <xf numFmtId="0" fontId="7" fillId="0" borderId="26" xfId="0" applyFont="1" applyBorder="1" applyAlignment="1">
      <alignment horizontal="center" vertical="center"/>
    </xf>
    <xf numFmtId="0" fontId="7" fillId="0" borderId="26" xfId="0" applyFont="1" applyBorder="1" applyAlignment="1" quotePrefix="1">
      <alignment horizontal="left" vertical="center" indent="1"/>
    </xf>
    <xf numFmtId="0" fontId="4" fillId="0" borderId="50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51" xfId="0" applyFont="1" applyBorder="1" applyAlignment="1">
      <alignment horizontal="left" vertical="center"/>
    </xf>
    <xf numFmtId="0" fontId="7" fillId="0" borderId="52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 quotePrefix="1">
      <alignment horizontal="left" vertical="center" indent="1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left" vertical="center" indent="1"/>
    </xf>
    <xf numFmtId="3" fontId="2" fillId="0" borderId="14" xfId="0" applyNumberFormat="1" applyFont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0" fontId="1" fillId="0" borderId="55" xfId="0" applyFont="1" applyBorder="1" applyAlignment="1">
      <alignment horizontal="left" vertical="center"/>
    </xf>
    <xf numFmtId="164" fontId="5" fillId="0" borderId="54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 wrapText="1"/>
    </xf>
    <xf numFmtId="164" fontId="7" fillId="0" borderId="41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 wrapText="1"/>
    </xf>
    <xf numFmtId="164" fontId="5" fillId="0" borderId="39" xfId="0" applyNumberFormat="1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164" fontId="7" fillId="0" borderId="40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7" xfId="0" applyFont="1" applyBorder="1" applyAlignment="1">
      <alignment horizontal="left" vertical="center"/>
    </xf>
    <xf numFmtId="164" fontId="5" fillId="0" borderId="57" xfId="0" applyNumberFormat="1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7" xfId="0" applyFont="1" applyBorder="1" applyAlignment="1" quotePrefix="1">
      <alignment horizontal="left" vertical="center" indent="1"/>
    </xf>
    <xf numFmtId="164" fontId="7" fillId="0" borderId="57" xfId="0" applyNumberFormat="1" applyFont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6" xfId="0" applyNumberFormat="1" applyFont="1" applyFill="1" applyBorder="1" applyAlignment="1">
      <alignment horizontal="right" vertical="center" wrapText="1"/>
    </xf>
    <xf numFmtId="4" fontId="14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/>
    </xf>
    <xf numFmtId="4" fontId="6" fillId="0" borderId="16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0" fontId="4" fillId="0" borderId="24" xfId="0" applyFont="1" applyBorder="1" applyAlignment="1">
      <alignment horizontal="center" vertical="center" wrapText="1"/>
    </xf>
    <xf numFmtId="0" fontId="30" fillId="0" borderId="10" xfId="18" applyFont="1" applyBorder="1" applyAlignment="1">
      <alignment horizontal="center" vertical="center" wrapText="1"/>
      <protection/>
    </xf>
    <xf numFmtId="0" fontId="50" fillId="0" borderId="10" xfId="18" applyFont="1" applyBorder="1" applyAlignment="1">
      <alignment horizontal="center" vertical="center" wrapText="1"/>
      <protection/>
    </xf>
    <xf numFmtId="0" fontId="51" fillId="0" borderId="10" xfId="18" applyFont="1" applyFill="1" applyBorder="1" applyAlignment="1">
      <alignment horizontal="center" vertical="center"/>
      <protection/>
    </xf>
    <xf numFmtId="0" fontId="51" fillId="0" borderId="10" xfId="18" applyFont="1" applyBorder="1" applyAlignment="1">
      <alignment horizontal="center" vertical="center"/>
      <protection/>
    </xf>
    <xf numFmtId="0" fontId="28" fillId="0" borderId="10" xfId="18" applyFont="1" applyFill="1" applyBorder="1" applyAlignment="1">
      <alignment horizontal="center"/>
      <protection/>
    </xf>
    <xf numFmtId="0" fontId="28" fillId="0" borderId="10" xfId="18" applyFont="1" applyFill="1" applyBorder="1">
      <alignment/>
      <protection/>
    </xf>
    <xf numFmtId="3" fontId="4" fillId="0" borderId="10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3" fontId="52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21" fillId="0" borderId="0" xfId="0" applyFont="1" applyFill="1" applyAlignment="1">
      <alignment/>
    </xf>
    <xf numFmtId="4" fontId="4" fillId="0" borderId="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right"/>
    </xf>
    <xf numFmtId="3" fontId="52" fillId="0" borderId="10" xfId="0" applyNumberFormat="1" applyFont="1" applyFill="1" applyBorder="1" applyAlignment="1">
      <alignment horizontal="right"/>
    </xf>
    <xf numFmtId="4" fontId="22" fillId="0" borderId="10" xfId="0" applyNumberFormat="1" applyFont="1" applyFill="1" applyBorder="1" applyAlignment="1">
      <alignment/>
    </xf>
    <xf numFmtId="4" fontId="52" fillId="0" borderId="10" xfId="0" applyNumberFormat="1" applyFont="1" applyFill="1" applyBorder="1" applyAlignment="1">
      <alignment/>
    </xf>
    <xf numFmtId="10" fontId="4" fillId="0" borderId="10" xfId="19" applyNumberFormat="1" applyFont="1" applyFill="1" applyBorder="1" applyAlignment="1">
      <alignment horizontal="center"/>
    </xf>
    <xf numFmtId="10" fontId="52" fillId="0" borderId="10" xfId="19" applyNumberFormat="1" applyFont="1" applyFill="1" applyBorder="1" applyAlignment="1">
      <alignment horizontal="center"/>
    </xf>
    <xf numFmtId="10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0" fontId="4" fillId="0" borderId="10" xfId="19" applyNumberFormat="1" applyFont="1" applyFill="1" applyBorder="1" applyAlignment="1">
      <alignment vertical="center"/>
    </xf>
    <xf numFmtId="10" fontId="52" fillId="0" borderId="10" xfId="19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0" fontId="4" fillId="0" borderId="10" xfId="0" applyNumberFormat="1" applyFont="1" applyBorder="1" applyAlignment="1">
      <alignment vertical="center"/>
    </xf>
    <xf numFmtId="10" fontId="52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28" fillId="0" borderId="10" xfId="18" applyNumberFormat="1" applyFont="1" applyBorder="1">
      <alignment/>
      <protection/>
    </xf>
    <xf numFmtId="0" fontId="30" fillId="0" borderId="0" xfId="18" applyFont="1">
      <alignment/>
      <protection/>
    </xf>
    <xf numFmtId="3" fontId="30" fillId="0" borderId="0" xfId="18" applyNumberFormat="1" applyFont="1">
      <alignment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0" fillId="2" borderId="10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 wrapText="1"/>
    </xf>
    <xf numFmtId="3" fontId="0" fillId="0" borderId="16" xfId="0" applyNumberFormat="1" applyFont="1" applyFill="1" applyBorder="1" applyAlignment="1">
      <alignment vertical="center" wrapText="1"/>
    </xf>
    <xf numFmtId="3" fontId="19" fillId="0" borderId="8" xfId="0" applyNumberFormat="1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3" fontId="2" fillId="0" borderId="8" xfId="0" applyNumberFormat="1" applyFont="1" applyFill="1" applyBorder="1" applyAlignment="1">
      <alignment horizontal="right" vertical="center" wrapText="1"/>
    </xf>
    <xf numFmtId="4" fontId="19" fillId="0" borderId="10" xfId="0" applyNumberFormat="1" applyFont="1" applyFill="1" applyBorder="1" applyAlignment="1">
      <alignment horizontal="right" vertical="center"/>
    </xf>
    <xf numFmtId="4" fontId="27" fillId="0" borderId="10" xfId="0" applyNumberFormat="1" applyFont="1" applyFill="1" applyBorder="1" applyAlignment="1">
      <alignment horizontal="right" vertical="center"/>
    </xf>
    <xf numFmtId="4" fontId="0" fillId="0" borderId="16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0" fillId="0" borderId="10" xfId="17" applyNumberFormat="1" applyFont="1" applyFill="1" applyBorder="1" applyAlignment="1">
      <alignment horizontal="right" vertical="center" wrapText="1"/>
      <protection/>
    </xf>
    <xf numFmtId="0" fontId="37" fillId="0" borderId="1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0" fontId="37" fillId="0" borderId="33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19" fillId="0" borderId="2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right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27" fillId="0" borderId="21" xfId="0" applyNumberFormat="1" applyFont="1" applyFill="1" applyBorder="1" applyAlignment="1">
      <alignment horizontal="right" vertical="center" wrapText="1"/>
    </xf>
    <xf numFmtId="4" fontId="27" fillId="0" borderId="22" xfId="0" applyNumberFormat="1" applyFont="1" applyFill="1" applyBorder="1" applyAlignment="1">
      <alignment horizontal="right" vertical="center" wrapText="1"/>
    </xf>
    <xf numFmtId="4" fontId="27" fillId="0" borderId="21" xfId="0" applyNumberFormat="1" applyFont="1" applyFill="1" applyBorder="1" applyAlignment="1">
      <alignment horizontal="center" vertical="center" wrapText="1"/>
    </xf>
    <xf numFmtId="4" fontId="27" fillId="0" borderId="22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2" borderId="10" xfId="0" applyFont="1" applyFill="1" applyBorder="1" applyAlignment="1">
      <alignment vertical="center" wrapText="1"/>
    </xf>
    <xf numFmtId="4" fontId="0" fillId="2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19" fillId="0" borderId="16" xfId="0" applyNumberFormat="1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3" fontId="0" fillId="0" borderId="22" xfId="0" applyNumberFormat="1" applyFont="1" applyFill="1" applyBorder="1" applyAlignment="1">
      <alignment horizontal="right" vertical="center" wrapText="1"/>
    </xf>
    <xf numFmtId="3" fontId="0" fillId="0" borderId="23" xfId="0" applyNumberFormat="1" applyFont="1" applyFill="1" applyBorder="1" applyAlignment="1">
      <alignment horizontal="righ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vertical="center"/>
    </xf>
    <xf numFmtId="4" fontId="4" fillId="0" borderId="17" xfId="0" applyNumberFormat="1" applyFont="1" applyFill="1" applyBorder="1" applyAlignment="1">
      <alignment horizontal="right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wrapText="1"/>
    </xf>
    <xf numFmtId="0" fontId="27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3" fontId="0" fillId="0" borderId="8" xfId="0" applyNumberFormat="1" applyFont="1" applyFill="1" applyBorder="1" applyAlignment="1">
      <alignment horizontal="right" vertical="center" wrapText="1"/>
    </xf>
    <xf numFmtId="3" fontId="0" fillId="0" borderId="3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/>
    </xf>
    <xf numFmtId="0" fontId="19" fillId="0" borderId="22" xfId="0" applyFont="1" applyBorder="1" applyAlignment="1">
      <alignment horizontal="center" vertical="top" wrapText="1"/>
    </xf>
    <xf numFmtId="0" fontId="19" fillId="0" borderId="16" xfId="0" applyFont="1" applyBorder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4" fontId="0" fillId="0" borderId="18" xfId="0" applyNumberFormat="1" applyFont="1" applyFill="1" applyBorder="1" applyAlignment="1">
      <alignment horizontal="right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4" fontId="0" fillId="0" borderId="21" xfId="0" applyNumberFormat="1" applyFont="1" applyFill="1" applyBorder="1" applyAlignment="1">
      <alignment horizontal="right" vertical="center" wrapText="1"/>
    </xf>
    <xf numFmtId="4" fontId="0" fillId="0" borderId="17" xfId="0" applyNumberFormat="1" applyFont="1" applyFill="1" applyBorder="1" applyAlignment="1">
      <alignment horizontal="right" vertical="center" wrapText="1"/>
    </xf>
    <xf numFmtId="4" fontId="0" fillId="0" borderId="19" xfId="0" applyNumberFormat="1" applyFont="1" applyFill="1" applyBorder="1" applyAlignment="1">
      <alignment horizontal="right" vertical="center" wrapText="1"/>
    </xf>
    <xf numFmtId="0" fontId="53" fillId="0" borderId="23" xfId="0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right" vertical="center" wrapText="1"/>
    </xf>
    <xf numFmtId="4" fontId="0" fillId="0" borderId="22" xfId="0" applyNumberFormat="1" applyFont="1" applyFill="1" applyBorder="1" applyAlignment="1">
      <alignment horizontal="right" vertical="center" wrapText="1"/>
    </xf>
    <xf numFmtId="4" fontId="0" fillId="0" borderId="23" xfId="0" applyNumberFormat="1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3" fontId="30" fillId="0" borderId="10" xfId="18" applyNumberFormat="1" applyFont="1" applyFill="1" applyBorder="1">
      <alignment/>
      <protection/>
    </xf>
    <xf numFmtId="3" fontId="30" fillId="0" borderId="18" xfId="18" applyNumberFormat="1" applyFont="1" applyFill="1" applyBorder="1">
      <alignment/>
      <protection/>
    </xf>
    <xf numFmtId="3" fontId="30" fillId="0" borderId="8" xfId="18" applyNumberFormat="1" applyFont="1" applyFill="1" applyBorder="1">
      <alignment/>
      <protection/>
    </xf>
    <xf numFmtId="3" fontId="30" fillId="0" borderId="24" xfId="18" applyNumberFormat="1" applyFont="1" applyFill="1" applyBorder="1" applyAlignment="1">
      <alignment horizontal="center"/>
      <protection/>
    </xf>
    <xf numFmtId="3" fontId="30" fillId="0" borderId="18" xfId="18" applyNumberFormat="1" applyFont="1" applyFill="1" applyBorder="1" applyAlignment="1">
      <alignment horizontal="center"/>
      <protection/>
    </xf>
    <xf numFmtId="3" fontId="30" fillId="0" borderId="20" xfId="18" applyNumberFormat="1" applyFont="1" applyFill="1" applyBorder="1" applyAlignment="1">
      <alignment horizontal="center"/>
      <protection/>
    </xf>
    <xf numFmtId="3" fontId="30" fillId="0" borderId="21" xfId="18" applyNumberFormat="1" applyFont="1" applyFill="1" applyBorder="1" applyAlignment="1">
      <alignment horizontal="center"/>
      <protection/>
    </xf>
    <xf numFmtId="3" fontId="30" fillId="0" borderId="17" xfId="18" applyNumberFormat="1" applyFont="1" applyFill="1" applyBorder="1" applyAlignment="1">
      <alignment horizontal="center"/>
      <protection/>
    </xf>
    <xf numFmtId="3" fontId="30" fillId="0" borderId="19" xfId="18" applyNumberFormat="1" applyFont="1" applyFill="1" applyBorder="1" applyAlignment="1">
      <alignment horizontal="center"/>
      <protection/>
    </xf>
    <xf numFmtId="3" fontId="30" fillId="0" borderId="22" xfId="18" applyNumberFormat="1" applyFont="1" applyFill="1" applyBorder="1" applyAlignment="1">
      <alignment horizontal="center"/>
      <protection/>
    </xf>
    <xf numFmtId="3" fontId="30" fillId="0" borderId="16" xfId="18" applyNumberFormat="1" applyFont="1" applyFill="1" applyBorder="1" applyAlignment="1">
      <alignment horizontal="center"/>
      <protection/>
    </xf>
    <xf numFmtId="3" fontId="30" fillId="0" borderId="23" xfId="18" applyNumberFormat="1" applyFont="1" applyFill="1" applyBorder="1" applyAlignment="1">
      <alignment horizontal="center"/>
      <protection/>
    </xf>
    <xf numFmtId="0" fontId="30" fillId="0" borderId="10" xfId="18" applyFont="1" applyFill="1" applyBorder="1" applyAlignment="1">
      <alignment horizontal="center" vertical="center"/>
      <protection/>
    </xf>
    <xf numFmtId="0" fontId="30" fillId="0" borderId="10" xfId="18" applyFont="1" applyFill="1" applyBorder="1" applyAlignment="1">
      <alignment horizontal="center" vertical="center" wrapText="1"/>
      <protection/>
    </xf>
    <xf numFmtId="0" fontId="35" fillId="0" borderId="10" xfId="18" applyFont="1" applyFill="1" applyBorder="1" applyAlignment="1">
      <alignment horizontal="center" vertical="center"/>
      <protection/>
    </xf>
    <xf numFmtId="0" fontId="35" fillId="0" borderId="18" xfId="18" applyFont="1" applyFill="1" applyBorder="1" applyAlignment="1">
      <alignment horizontal="center" vertical="center"/>
      <protection/>
    </xf>
    <xf numFmtId="0" fontId="35" fillId="0" borderId="17" xfId="18" applyFont="1" applyFill="1" applyBorder="1" applyAlignment="1">
      <alignment horizontal="center" vertical="center"/>
      <protection/>
    </xf>
    <xf numFmtId="0" fontId="35" fillId="0" borderId="16" xfId="18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4" fontId="0" fillId="2" borderId="14" xfId="0" applyNumberFormat="1" applyFont="1" applyFill="1" applyBorder="1" applyAlignment="1">
      <alignment horizontal="right" vertical="center"/>
    </xf>
    <xf numFmtId="4" fontId="4" fillId="2" borderId="14" xfId="0" applyNumberFormat="1" applyFont="1" applyFill="1" applyBorder="1" applyAlignment="1">
      <alignment horizontal="right" vertical="center"/>
    </xf>
    <xf numFmtId="4" fontId="0" fillId="0" borderId="14" xfId="0" applyNumberFormat="1" applyFont="1" applyFill="1" applyBorder="1" applyAlignment="1">
      <alignment horizontal="right" vertical="center"/>
    </xf>
    <xf numFmtId="4" fontId="4" fillId="0" borderId="41" xfId="0" applyNumberFormat="1" applyFont="1" applyBorder="1" applyAlignment="1">
      <alignment horizontal="right" vertical="center"/>
    </xf>
    <xf numFmtId="4" fontId="4" fillId="0" borderId="14" xfId="0" applyNumberFormat="1" applyFont="1" applyFill="1" applyBorder="1" applyAlignment="1">
      <alignment horizontal="right" vertical="center"/>
    </xf>
    <xf numFmtId="4" fontId="4" fillId="2" borderId="15" xfId="0" applyNumberFormat="1" applyFont="1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40" xfId="0" applyFill="1" applyBorder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0" fillId="0" borderId="23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3" fontId="19" fillId="0" borderId="10" xfId="0" applyNumberFormat="1" applyFont="1" applyFill="1" applyBorder="1" applyAlignment="1">
      <alignment vertical="center" wrapText="1"/>
    </xf>
    <xf numFmtId="3" fontId="0" fillId="0" borderId="8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wrapText="1"/>
    </xf>
    <xf numFmtId="3" fontId="0" fillId="0" borderId="22" xfId="0" applyNumberFormat="1" applyFont="1" applyFill="1" applyBorder="1" applyAlignment="1">
      <alignment vertical="center" wrapText="1"/>
    </xf>
    <xf numFmtId="0" fontId="19" fillId="0" borderId="8" xfId="0" applyFont="1" applyBorder="1" applyAlignment="1">
      <alignment horizontal="center" vertical="top" wrapText="1"/>
    </xf>
    <xf numFmtId="0" fontId="19" fillId="0" borderId="10" xfId="0" applyFont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0" fontId="52" fillId="0" borderId="18" xfId="0" applyFont="1" applyFill="1" applyBorder="1" applyAlignment="1">
      <alignment horizontal="center"/>
    </xf>
    <xf numFmtId="0" fontId="52" fillId="0" borderId="16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4" fontId="52" fillId="0" borderId="10" xfId="0" applyNumberFormat="1" applyFont="1" applyFill="1" applyBorder="1" applyAlignment="1">
      <alignment vertical="center"/>
    </xf>
    <xf numFmtId="4" fontId="52" fillId="0" borderId="3" xfId="0" applyNumberFormat="1" applyFont="1" applyFill="1" applyBorder="1" applyAlignment="1">
      <alignment/>
    </xf>
    <xf numFmtId="4" fontId="52" fillId="0" borderId="10" xfId="0" applyNumberFormat="1" applyFont="1" applyFill="1" applyBorder="1" applyAlignment="1">
      <alignment horizontal="right"/>
    </xf>
    <xf numFmtId="4" fontId="22" fillId="0" borderId="1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3" fontId="52" fillId="0" borderId="16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3" fontId="30" fillId="0" borderId="8" xfId="18" applyNumberFormat="1" applyFont="1" applyFill="1" applyBorder="1" applyAlignment="1">
      <alignment horizontal="center"/>
      <protection/>
    </xf>
    <xf numFmtId="3" fontId="30" fillId="0" borderId="10" xfId="18" applyNumberFormat="1" applyFont="1" applyFill="1" applyBorder="1" applyAlignment="1">
      <alignment horizontal="center"/>
      <protection/>
    </xf>
    <xf numFmtId="3" fontId="30" fillId="0" borderId="3" xfId="18" applyNumberFormat="1" applyFont="1" applyFill="1" applyBorder="1" applyAlignment="1">
      <alignment horizontal="center"/>
      <protection/>
    </xf>
    <xf numFmtId="0" fontId="11" fillId="0" borderId="16" xfId="0" applyFont="1" applyFill="1" applyBorder="1" applyAlignment="1">
      <alignment horizontal="center" vertical="center"/>
    </xf>
    <xf numFmtId="4" fontId="0" fillId="0" borderId="16" xfId="17" applyNumberFormat="1" applyFont="1" applyFill="1" applyBorder="1" applyAlignment="1">
      <alignment horizontal="right" vertical="center" wrapText="1"/>
      <protection/>
    </xf>
    <xf numFmtId="0" fontId="4" fillId="0" borderId="18" xfId="0" applyFont="1" applyFill="1" applyBorder="1" applyAlignment="1">
      <alignment horizontal="left" vertical="center" wrapText="1"/>
    </xf>
    <xf numFmtId="4" fontId="4" fillId="0" borderId="18" xfId="0" applyNumberFormat="1" applyFont="1" applyFill="1" applyBorder="1" applyAlignment="1">
      <alignment horizontal="right" vertical="center" wrapText="1"/>
    </xf>
    <xf numFmtId="4" fontId="19" fillId="0" borderId="10" xfId="17" applyNumberFormat="1" applyFont="1" applyFill="1" applyBorder="1" applyAlignment="1">
      <alignment horizontal="right" vertical="center" wrapText="1"/>
      <protection/>
    </xf>
    <xf numFmtId="4" fontId="27" fillId="0" borderId="10" xfId="0" applyNumberFormat="1" applyFont="1" applyFill="1" applyBorder="1" applyAlignment="1">
      <alignment horizontal="right" vertical="center" wrapText="1"/>
    </xf>
    <xf numFmtId="4" fontId="4" fillId="0" borderId="10" xfId="17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4" fillId="0" borderId="16" xfId="0" applyNumberFormat="1" applyFont="1" applyFill="1" applyBorder="1" applyAlignment="1">
      <alignment vertical="center" wrapText="1"/>
    </xf>
    <xf numFmtId="4" fontId="0" fillId="0" borderId="16" xfId="0" applyNumberFormat="1" applyFont="1" applyFill="1" applyBorder="1" applyAlignment="1">
      <alignment vertical="center" wrapText="1"/>
    </xf>
    <xf numFmtId="4" fontId="4" fillId="0" borderId="16" xfId="0" applyNumberFormat="1" applyFont="1" applyFill="1" applyBorder="1" applyAlignment="1">
      <alignment horizontal="right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4" fontId="0" fillId="0" borderId="8" xfId="0" applyNumberFormat="1" applyFont="1" applyBorder="1" applyAlignment="1">
      <alignment horizontal="right" vertical="center" wrapText="1"/>
    </xf>
    <xf numFmtId="4" fontId="0" fillId="0" borderId="3" xfId="0" applyNumberFormat="1" applyFont="1" applyBorder="1" applyAlignment="1">
      <alignment horizontal="right" vertical="center" wrapText="1"/>
    </xf>
    <xf numFmtId="4" fontId="4" fillId="0" borderId="8" xfId="0" applyNumberFormat="1" applyFont="1" applyFill="1" applyBorder="1" applyAlignment="1">
      <alignment horizontal="right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4" xfId="0" applyFont="1" applyBorder="1" applyAlignment="1">
      <alignment vertical="center" wrapText="1"/>
    </xf>
    <xf numFmtId="4" fontId="4" fillId="0" borderId="24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4" fontId="4" fillId="0" borderId="20" xfId="0" applyNumberFormat="1" applyFont="1" applyBorder="1" applyAlignment="1">
      <alignment horizontal="right" vertical="center" wrapText="1"/>
    </xf>
    <xf numFmtId="4" fontId="0" fillId="0" borderId="18" xfId="0" applyNumberFormat="1" applyBorder="1" applyAlignment="1">
      <alignment vertical="center" wrapText="1"/>
    </xf>
    <xf numFmtId="4" fontId="0" fillId="0" borderId="17" xfId="0" applyNumberFormat="1" applyBorder="1" applyAlignment="1">
      <alignment vertical="center" wrapText="1"/>
    </xf>
    <xf numFmtId="4" fontId="0" fillId="0" borderId="16" xfId="0" applyNumberFormat="1" applyBorder="1" applyAlignment="1">
      <alignment vertical="center" wrapText="1"/>
    </xf>
    <xf numFmtId="3" fontId="0" fillId="0" borderId="19" xfId="0" applyNumberFormat="1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4" fontId="19" fillId="0" borderId="18" xfId="0" applyNumberFormat="1" applyFont="1" applyBorder="1" applyAlignment="1">
      <alignment vertical="center" wrapText="1"/>
    </xf>
    <xf numFmtId="4" fontId="19" fillId="0" borderId="16" xfId="0" applyNumberFormat="1" applyFont="1" applyBorder="1" applyAlignment="1">
      <alignment vertical="center" wrapText="1"/>
    </xf>
    <xf numFmtId="4" fontId="19" fillId="0" borderId="17" xfId="0" applyNumberFormat="1" applyFont="1" applyBorder="1" applyAlignment="1">
      <alignment vertical="center" wrapText="1"/>
    </xf>
    <xf numFmtId="4" fontId="0" fillId="0" borderId="16" xfId="0" applyNumberFormat="1" applyBorder="1" applyAlignment="1">
      <alignment vertical="center"/>
    </xf>
    <xf numFmtId="4" fontId="0" fillId="0" borderId="23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3" fontId="0" fillId="0" borderId="18" xfId="0" applyNumberFormat="1" applyFont="1" applyFill="1" applyBorder="1" applyAlignment="1">
      <alignment horizontal="right" vertical="center" wrapText="1"/>
    </xf>
    <xf numFmtId="3" fontId="0" fillId="0" borderId="17" xfId="0" applyNumberFormat="1" applyFont="1" applyFill="1" applyBorder="1" applyAlignment="1">
      <alignment horizontal="right" vertical="center" wrapText="1"/>
    </xf>
    <xf numFmtId="3" fontId="0" fillId="0" borderId="16" xfId="0" applyNumberFormat="1" applyFont="1" applyFill="1" applyBorder="1" applyAlignment="1">
      <alignment horizontal="right" vertical="center" wrapText="1"/>
    </xf>
    <xf numFmtId="3" fontId="0" fillId="0" borderId="24" xfId="0" applyNumberFormat="1" applyFont="1" applyFill="1" applyBorder="1" applyAlignment="1">
      <alignment horizontal="right" vertical="center" wrapText="1"/>
    </xf>
    <xf numFmtId="3" fontId="0" fillId="0" borderId="21" xfId="0" applyNumberFormat="1" applyFont="1" applyFill="1" applyBorder="1" applyAlignment="1">
      <alignment horizontal="right" vertical="center" wrapText="1"/>
    </xf>
    <xf numFmtId="3" fontId="0" fillId="0" borderId="22" xfId="0" applyNumberFormat="1" applyFont="1" applyFill="1" applyBorder="1" applyAlignment="1">
      <alignment horizontal="right" vertical="center" wrapText="1"/>
    </xf>
    <xf numFmtId="3" fontId="0" fillId="0" borderId="2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4" fillId="0" borderId="3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vertical="center" wrapText="1"/>
    </xf>
    <xf numFmtId="3" fontId="0" fillId="0" borderId="24" xfId="0" applyNumberFormat="1" applyFont="1" applyFill="1" applyBorder="1" applyAlignment="1">
      <alignment vertical="center" wrapText="1"/>
    </xf>
    <xf numFmtId="3" fontId="0" fillId="0" borderId="21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3" fontId="19" fillId="0" borderId="18" xfId="0" applyNumberFormat="1" applyFont="1" applyFill="1" applyBorder="1" applyAlignment="1">
      <alignment vertical="center" wrapText="1"/>
    </xf>
    <xf numFmtId="3" fontId="19" fillId="0" borderId="17" xfId="0" applyNumberFormat="1" applyFont="1" applyFill="1" applyBorder="1" applyAlignment="1">
      <alignment vertical="center" wrapText="1"/>
    </xf>
    <xf numFmtId="0" fontId="19" fillId="0" borderId="16" xfId="0" applyFont="1" applyFill="1" applyBorder="1" applyAlignment="1">
      <alignment vertical="center" wrapText="1"/>
    </xf>
    <xf numFmtId="3" fontId="0" fillId="0" borderId="18" xfId="0" applyNumberFormat="1" applyFont="1" applyFill="1" applyBorder="1" applyAlignment="1">
      <alignment vertical="center" wrapText="1"/>
    </xf>
    <xf numFmtId="3" fontId="0" fillId="0" borderId="17" xfId="0" applyNumberFormat="1" applyFont="1" applyFill="1" applyBorder="1" applyAlignment="1">
      <alignment vertical="center" wrapText="1"/>
    </xf>
    <xf numFmtId="0" fontId="28" fillId="0" borderId="16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4" fillId="0" borderId="18" xfId="0" applyNumberFormat="1" applyFont="1" applyFill="1" applyBorder="1" applyAlignment="1">
      <alignment horizontal="center" vertical="center" wrapText="1"/>
    </xf>
    <xf numFmtId="4" fontId="14" fillId="0" borderId="16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/>
    </xf>
    <xf numFmtId="49" fontId="0" fillId="0" borderId="34" xfId="0" applyNumberFormat="1" applyFont="1" applyFill="1" applyBorder="1" applyAlignment="1">
      <alignment/>
    </xf>
    <xf numFmtId="49" fontId="0" fillId="0" borderId="3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49" fontId="4" fillId="0" borderId="8" xfId="0" applyNumberFormat="1" applyFont="1" applyFill="1" applyBorder="1" applyAlignment="1">
      <alignment horizontal="right" vertical="center"/>
    </xf>
    <xf numFmtId="49" fontId="4" fillId="0" borderId="34" xfId="0" applyNumberFormat="1" applyFont="1" applyFill="1" applyBorder="1" applyAlignment="1">
      <alignment horizontal="right" vertical="center"/>
    </xf>
    <xf numFmtId="49" fontId="4" fillId="0" borderId="3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/>
    </xf>
    <xf numFmtId="49" fontId="0" fillId="0" borderId="58" xfId="0" applyNumberFormat="1" applyFont="1" applyFill="1" applyBorder="1" applyAlignment="1">
      <alignment/>
    </xf>
    <xf numFmtId="49" fontId="0" fillId="0" borderId="20" xfId="0" applyNumberFormat="1" applyFont="1" applyFill="1" applyBorder="1" applyAlignment="1">
      <alignment horizontal="left" vertical="center" wrapText="1"/>
    </xf>
    <xf numFmtId="49" fontId="0" fillId="0" borderId="18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/>
    </xf>
    <xf numFmtId="49" fontId="0" fillId="0" borderId="16" xfId="0" applyNumberFormat="1" applyFont="1" applyFill="1" applyBorder="1" applyAlignment="1">
      <alignment horizontal="left" vertical="center"/>
    </xf>
    <xf numFmtId="49" fontId="0" fillId="0" borderId="34" xfId="0" applyNumberFormat="1" applyFont="1" applyFill="1" applyBorder="1" applyAlignment="1">
      <alignment horizontal="left" vertical="center"/>
    </xf>
    <xf numFmtId="49" fontId="4" fillId="0" borderId="8" xfId="0" applyNumberFormat="1" applyFont="1" applyFill="1" applyBorder="1" applyAlignment="1">
      <alignment/>
    </xf>
    <xf numFmtId="49" fontId="0" fillId="0" borderId="3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3" fontId="0" fillId="0" borderId="23" xfId="0" applyNumberFormat="1" applyFont="1" applyFill="1" applyBorder="1" applyAlignment="1">
      <alignment horizontal="right" vertical="center" wrapText="1"/>
    </xf>
    <xf numFmtId="3" fontId="0" fillId="0" borderId="8" xfId="0" applyNumberFormat="1" applyFont="1" applyFill="1" applyBorder="1" applyAlignment="1">
      <alignment horizontal="right" vertical="center" wrapText="1"/>
    </xf>
    <xf numFmtId="3" fontId="0" fillId="0" borderId="3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30" fillId="0" borderId="8" xfId="18" applyFont="1" applyFill="1" applyBorder="1" applyAlignment="1">
      <alignment horizontal="left" vertical="center"/>
      <protection/>
    </xf>
    <xf numFmtId="0" fontId="0" fillId="0" borderId="34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30" fillId="0" borderId="18" xfId="18" applyFont="1" applyFill="1" applyBorder="1" applyAlignment="1">
      <alignment horizontal="center" vertical="center"/>
      <protection/>
    </xf>
    <xf numFmtId="0" fontId="30" fillId="0" borderId="17" xfId="18" applyFont="1" applyFill="1" applyBorder="1" applyAlignment="1">
      <alignment horizontal="center" vertical="center"/>
      <protection/>
    </xf>
    <xf numFmtId="0" fontId="30" fillId="0" borderId="10" xfId="18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left" vertical="center"/>
    </xf>
    <xf numFmtId="0" fontId="30" fillId="0" borderId="24" xfId="18" applyFont="1" applyFill="1" applyBorder="1" applyAlignment="1">
      <alignment horizontal="left" vertical="center"/>
      <protection/>
    </xf>
    <xf numFmtId="0" fontId="0" fillId="0" borderId="58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3" fontId="35" fillId="0" borderId="18" xfId="18" applyNumberFormat="1" applyFont="1" applyBorder="1" applyAlignment="1">
      <alignment horizontal="center"/>
      <protection/>
    </xf>
    <xf numFmtId="3" fontId="35" fillId="0" borderId="17" xfId="18" applyNumberFormat="1" applyFont="1" applyBorder="1" applyAlignment="1">
      <alignment horizontal="center"/>
      <protection/>
    </xf>
    <xf numFmtId="3" fontId="35" fillId="0" borderId="16" xfId="18" applyNumberFormat="1" applyFont="1" applyBorder="1" applyAlignment="1">
      <alignment horizontal="center"/>
      <protection/>
    </xf>
    <xf numFmtId="0" fontId="30" fillId="0" borderId="18" xfId="18" applyFont="1" applyBorder="1" applyAlignment="1">
      <alignment horizontal="center" vertical="center"/>
      <protection/>
    </xf>
    <xf numFmtId="0" fontId="30" fillId="0" borderId="17" xfId="18" applyFont="1" applyBorder="1" applyAlignment="1">
      <alignment horizontal="center" vertical="center"/>
      <protection/>
    </xf>
    <xf numFmtId="0" fontId="30" fillId="0" borderId="18" xfId="18" applyFont="1" applyBorder="1" applyAlignment="1">
      <alignment horizontal="center" vertical="center" wrapText="1"/>
      <protection/>
    </xf>
    <xf numFmtId="0" fontId="30" fillId="0" borderId="17" xfId="18" applyFont="1" applyBorder="1" applyAlignment="1">
      <alignment horizontal="center" vertical="center" wrapText="1"/>
      <protection/>
    </xf>
    <xf numFmtId="3" fontId="30" fillId="0" borderId="18" xfId="18" applyNumberFormat="1" applyFont="1" applyBorder="1" applyAlignment="1">
      <alignment horizontal="center"/>
      <protection/>
    </xf>
    <xf numFmtId="3" fontId="30" fillId="0" borderId="17" xfId="18" applyNumberFormat="1" applyFont="1" applyBorder="1" applyAlignment="1">
      <alignment horizontal="center"/>
      <protection/>
    </xf>
    <xf numFmtId="0" fontId="30" fillId="0" borderId="8" xfId="18" applyFont="1" applyBorder="1" applyAlignment="1">
      <alignment horizontal="center"/>
      <protection/>
    </xf>
    <xf numFmtId="0" fontId="30" fillId="0" borderId="3" xfId="18" applyFont="1" applyBorder="1" applyAlignment="1">
      <alignment horizontal="center"/>
      <protection/>
    </xf>
    <xf numFmtId="0" fontId="30" fillId="0" borderId="10" xfId="18" applyFont="1" applyBorder="1" applyAlignment="1">
      <alignment horizontal="center" vertical="center" wrapText="1"/>
      <protection/>
    </xf>
    <xf numFmtId="0" fontId="30" fillId="0" borderId="10" xfId="18" applyFont="1" applyBorder="1" applyAlignment="1">
      <alignment horizontal="center" vertical="center"/>
      <protection/>
    </xf>
    <xf numFmtId="0" fontId="30" fillId="0" borderId="16" xfId="18" applyFont="1" applyBorder="1" applyAlignment="1">
      <alignment horizontal="center" vertical="center"/>
      <protection/>
    </xf>
    <xf numFmtId="0" fontId="30" fillId="0" borderId="16" xfId="18" applyFont="1" applyBorder="1" applyAlignment="1">
      <alignment horizontal="center" vertical="center" wrapText="1"/>
      <protection/>
    </xf>
    <xf numFmtId="0" fontId="28" fillId="0" borderId="0" xfId="18" applyFont="1" applyAlignment="1">
      <alignment horizontal="center"/>
      <protection/>
    </xf>
    <xf numFmtId="0" fontId="30" fillId="0" borderId="16" xfId="18" applyFont="1" applyFill="1" applyBorder="1" applyAlignment="1">
      <alignment horizontal="center" vertical="center"/>
      <protection/>
    </xf>
    <xf numFmtId="0" fontId="30" fillId="0" borderId="18" xfId="18" applyFont="1" applyFill="1" applyBorder="1" applyAlignment="1">
      <alignment horizontal="center" vertical="center"/>
      <protection/>
    </xf>
    <xf numFmtId="0" fontId="30" fillId="0" borderId="17" xfId="18" applyFont="1" applyFill="1" applyBorder="1" applyAlignment="1">
      <alignment horizontal="center" vertical="center"/>
      <protection/>
    </xf>
    <xf numFmtId="0" fontId="30" fillId="0" borderId="18" xfId="18" applyFont="1" applyFill="1" applyBorder="1" applyAlignment="1">
      <alignment horizontal="center" vertical="center" wrapText="1"/>
      <protection/>
    </xf>
    <xf numFmtId="0" fontId="30" fillId="0" borderId="17" xfId="18" applyFont="1" applyFill="1" applyBorder="1" applyAlignment="1">
      <alignment horizontal="center" vertical="center" wrapText="1"/>
      <protection/>
    </xf>
    <xf numFmtId="0" fontId="35" fillId="0" borderId="18" xfId="18" applyFont="1" applyFill="1" applyBorder="1" applyAlignment="1">
      <alignment horizontal="center" vertical="center"/>
      <protection/>
    </xf>
    <xf numFmtId="0" fontId="35" fillId="0" borderId="17" xfId="18" applyFont="1" applyFill="1" applyBorder="1" applyAlignment="1">
      <alignment horizontal="center" vertical="center"/>
      <protection/>
    </xf>
    <xf numFmtId="0" fontId="35" fillId="0" borderId="16" xfId="18" applyFont="1" applyFill="1" applyBorder="1" applyAlignment="1">
      <alignment horizontal="center" vertical="center"/>
      <protection/>
    </xf>
    <xf numFmtId="0" fontId="30" fillId="0" borderId="16" xfId="18" applyFont="1" applyFill="1" applyBorder="1" applyAlignment="1">
      <alignment horizontal="center" vertical="center" wrapText="1"/>
      <protection/>
    </xf>
    <xf numFmtId="0" fontId="28" fillId="0" borderId="10" xfId="18" applyFont="1" applyBorder="1" applyAlignment="1">
      <alignment horizontal="center"/>
      <protection/>
    </xf>
    <xf numFmtId="0" fontId="30" fillId="0" borderId="16" xfId="18" applyFont="1" applyFill="1" applyBorder="1" applyAlignment="1">
      <alignment horizontal="center" vertical="center"/>
      <protection/>
    </xf>
    <xf numFmtId="0" fontId="30" fillId="0" borderId="0" xfId="18" applyFont="1" applyAlignment="1">
      <alignment horizontal="left"/>
      <protection/>
    </xf>
    <xf numFmtId="0" fontId="30" fillId="0" borderId="0" xfId="18" applyFont="1" applyAlignment="1">
      <alignment horizontal="left" wrapText="1"/>
      <protection/>
    </xf>
    <xf numFmtId="0" fontId="2" fillId="0" borderId="32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center"/>
    </xf>
    <xf numFmtId="49" fontId="11" fillId="0" borderId="17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34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0" fillId="0" borderId="8" xfId="0" applyFont="1" applyBorder="1" applyAlignment="1">
      <alignment vertical="center" wrapText="1"/>
    </xf>
    <xf numFmtId="4" fontId="0" fillId="0" borderId="18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4" fontId="0" fillId="0" borderId="17" xfId="0" applyNumberFormat="1" applyFont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4" fontId="0" fillId="0" borderId="8" xfId="0" applyNumberFormat="1" applyFont="1" applyFill="1" applyBorder="1" applyAlignment="1">
      <alignment horizontal="right" vertical="center" wrapText="1"/>
    </xf>
    <xf numFmtId="0" fontId="0" fillId="0" borderId="3" xfId="0" applyFont="1" applyFill="1" applyBorder="1" applyAlignment="1">
      <alignment horizontal="right" vertical="center" wrapText="1"/>
    </xf>
    <xf numFmtId="4" fontId="0" fillId="0" borderId="8" xfId="0" applyNumberFormat="1" applyFont="1" applyFill="1" applyBorder="1" applyAlignment="1">
      <alignment horizontal="right" vertical="center" wrapText="1"/>
    </xf>
    <xf numFmtId="0" fontId="0" fillId="0" borderId="3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8" xfId="0" applyNumberFormat="1" applyFont="1" applyFill="1" applyBorder="1" applyAlignment="1">
      <alignment horizontal="right" vertical="center"/>
    </xf>
    <xf numFmtId="4" fontId="4" fillId="0" borderId="3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5" fillId="2" borderId="32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Normalny_dochody" xfId="17"/>
    <cellStyle name="Normalny_zal_Szczecin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1</xdr:col>
      <xdr:colOff>466725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69532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1</xdr:col>
      <xdr:colOff>466725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69532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457200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685800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1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69532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1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69532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457200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685800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99" name="Line 199"/>
        <xdr:cNvSpPr>
          <a:spLocks/>
        </xdr:cNvSpPr>
      </xdr:nvSpPr>
      <xdr:spPr>
        <a:xfrm>
          <a:off x="4124325" y="192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00" name="Line 200"/>
        <xdr:cNvSpPr>
          <a:spLocks/>
        </xdr:cNvSpPr>
      </xdr:nvSpPr>
      <xdr:spPr>
        <a:xfrm>
          <a:off x="412432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01" name="Line 201"/>
        <xdr:cNvSpPr>
          <a:spLocks/>
        </xdr:cNvSpPr>
      </xdr:nvSpPr>
      <xdr:spPr>
        <a:xfrm>
          <a:off x="412432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02" name="Line 202"/>
        <xdr:cNvSpPr>
          <a:spLocks/>
        </xdr:cNvSpPr>
      </xdr:nvSpPr>
      <xdr:spPr>
        <a:xfrm>
          <a:off x="412432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123825</xdr:rowOff>
    </xdr:from>
    <xdr:to>
      <xdr:col>4</xdr:col>
      <xdr:colOff>0</xdr:colOff>
      <xdr:row>13</xdr:row>
      <xdr:rowOff>123825</xdr:rowOff>
    </xdr:to>
    <xdr:sp>
      <xdr:nvSpPr>
        <xdr:cNvPr id="203" name="Line 203"/>
        <xdr:cNvSpPr>
          <a:spLocks/>
        </xdr:cNvSpPr>
      </xdr:nvSpPr>
      <xdr:spPr>
        <a:xfrm>
          <a:off x="41243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123825</xdr:rowOff>
    </xdr:from>
    <xdr:to>
      <xdr:col>4</xdr:col>
      <xdr:colOff>0</xdr:colOff>
      <xdr:row>14</xdr:row>
      <xdr:rowOff>123825</xdr:rowOff>
    </xdr:to>
    <xdr:sp>
      <xdr:nvSpPr>
        <xdr:cNvPr id="204" name="Line 204"/>
        <xdr:cNvSpPr>
          <a:spLocks/>
        </xdr:cNvSpPr>
      </xdr:nvSpPr>
      <xdr:spPr>
        <a:xfrm>
          <a:off x="4124325" y="318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205" name="Line 205"/>
        <xdr:cNvSpPr>
          <a:spLocks/>
        </xdr:cNvSpPr>
      </xdr:nvSpPr>
      <xdr:spPr>
        <a:xfrm>
          <a:off x="4124325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06" name="Line 206"/>
        <xdr:cNvSpPr>
          <a:spLocks/>
        </xdr:cNvSpPr>
      </xdr:nvSpPr>
      <xdr:spPr>
        <a:xfrm>
          <a:off x="412432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07" name="Line 207"/>
        <xdr:cNvSpPr>
          <a:spLocks/>
        </xdr:cNvSpPr>
      </xdr:nvSpPr>
      <xdr:spPr>
        <a:xfrm>
          <a:off x="412432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161925</xdr:rowOff>
    </xdr:from>
    <xdr:to>
      <xdr:col>4</xdr:col>
      <xdr:colOff>0</xdr:colOff>
      <xdr:row>17</xdr:row>
      <xdr:rowOff>161925</xdr:rowOff>
    </xdr:to>
    <xdr:sp>
      <xdr:nvSpPr>
        <xdr:cNvPr id="208" name="Line 208"/>
        <xdr:cNvSpPr>
          <a:spLocks/>
        </xdr:cNvSpPr>
      </xdr:nvSpPr>
      <xdr:spPr>
        <a:xfrm>
          <a:off x="4124325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161925</xdr:rowOff>
    </xdr:from>
    <xdr:to>
      <xdr:col>4</xdr:col>
      <xdr:colOff>0</xdr:colOff>
      <xdr:row>17</xdr:row>
      <xdr:rowOff>161925</xdr:rowOff>
    </xdr:to>
    <xdr:sp>
      <xdr:nvSpPr>
        <xdr:cNvPr id="209" name="Line 209"/>
        <xdr:cNvSpPr>
          <a:spLocks/>
        </xdr:cNvSpPr>
      </xdr:nvSpPr>
      <xdr:spPr>
        <a:xfrm>
          <a:off x="4124325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133350</xdr:rowOff>
    </xdr:from>
    <xdr:to>
      <xdr:col>4</xdr:col>
      <xdr:colOff>0</xdr:colOff>
      <xdr:row>83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412432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211" name="Line 211"/>
        <xdr:cNvSpPr>
          <a:spLocks/>
        </xdr:cNvSpPr>
      </xdr:nvSpPr>
      <xdr:spPr>
        <a:xfrm>
          <a:off x="4124325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212" name="Line 212"/>
        <xdr:cNvSpPr>
          <a:spLocks/>
        </xdr:cNvSpPr>
      </xdr:nvSpPr>
      <xdr:spPr>
        <a:xfrm>
          <a:off x="4124325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213" name="Line 213"/>
        <xdr:cNvSpPr>
          <a:spLocks/>
        </xdr:cNvSpPr>
      </xdr:nvSpPr>
      <xdr:spPr>
        <a:xfrm>
          <a:off x="4124325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133350</xdr:rowOff>
    </xdr:from>
    <xdr:to>
      <xdr:col>4</xdr:col>
      <xdr:colOff>0</xdr:colOff>
      <xdr:row>89</xdr:row>
      <xdr:rowOff>133350</xdr:rowOff>
    </xdr:to>
    <xdr:sp>
      <xdr:nvSpPr>
        <xdr:cNvPr id="214" name="Line 214"/>
        <xdr:cNvSpPr>
          <a:spLocks/>
        </xdr:cNvSpPr>
      </xdr:nvSpPr>
      <xdr:spPr>
        <a:xfrm>
          <a:off x="4124325" y="2855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93</xdr:row>
      <xdr:rowOff>133350</xdr:rowOff>
    </xdr:from>
    <xdr:to>
      <xdr:col>4</xdr:col>
      <xdr:colOff>0</xdr:colOff>
      <xdr:row>93</xdr:row>
      <xdr:rowOff>133350</xdr:rowOff>
    </xdr:to>
    <xdr:sp>
      <xdr:nvSpPr>
        <xdr:cNvPr id="215" name="Line 215"/>
        <xdr:cNvSpPr>
          <a:spLocks/>
        </xdr:cNvSpPr>
      </xdr:nvSpPr>
      <xdr:spPr>
        <a:xfrm>
          <a:off x="4124325" y="2980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216" name="Line 216"/>
        <xdr:cNvSpPr>
          <a:spLocks/>
        </xdr:cNvSpPr>
      </xdr:nvSpPr>
      <xdr:spPr>
        <a:xfrm>
          <a:off x="41243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142875</xdr:rowOff>
    </xdr:from>
    <xdr:to>
      <xdr:col>4</xdr:col>
      <xdr:colOff>0</xdr:colOff>
      <xdr:row>83</xdr:row>
      <xdr:rowOff>142875</xdr:rowOff>
    </xdr:to>
    <xdr:sp>
      <xdr:nvSpPr>
        <xdr:cNvPr id="217" name="Line 217"/>
        <xdr:cNvSpPr>
          <a:spLocks/>
        </xdr:cNvSpPr>
      </xdr:nvSpPr>
      <xdr:spPr>
        <a:xfrm>
          <a:off x="4124325" y="2698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218" name="Line 218"/>
        <xdr:cNvSpPr>
          <a:spLocks/>
        </xdr:cNvSpPr>
      </xdr:nvSpPr>
      <xdr:spPr>
        <a:xfrm>
          <a:off x="4124325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219" name="Line 219"/>
        <xdr:cNvSpPr>
          <a:spLocks/>
        </xdr:cNvSpPr>
      </xdr:nvSpPr>
      <xdr:spPr>
        <a:xfrm>
          <a:off x="4124325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220" name="Line 220"/>
        <xdr:cNvSpPr>
          <a:spLocks/>
        </xdr:cNvSpPr>
      </xdr:nvSpPr>
      <xdr:spPr>
        <a:xfrm>
          <a:off x="4124325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142875</xdr:rowOff>
    </xdr:from>
    <xdr:to>
      <xdr:col>4</xdr:col>
      <xdr:colOff>0</xdr:colOff>
      <xdr:row>89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4124325" y="2856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93</xdr:row>
      <xdr:rowOff>142875</xdr:rowOff>
    </xdr:from>
    <xdr:to>
      <xdr:col>4</xdr:col>
      <xdr:colOff>0</xdr:colOff>
      <xdr:row>93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4124325" y="2981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112</xdr:row>
      <xdr:rowOff>142875</xdr:rowOff>
    </xdr:from>
    <xdr:to>
      <xdr:col>4</xdr:col>
      <xdr:colOff>0</xdr:colOff>
      <xdr:row>112</xdr:row>
      <xdr:rowOff>142875</xdr:rowOff>
    </xdr:to>
    <xdr:sp>
      <xdr:nvSpPr>
        <xdr:cNvPr id="223" name="Line 223"/>
        <xdr:cNvSpPr>
          <a:spLocks/>
        </xdr:cNvSpPr>
      </xdr:nvSpPr>
      <xdr:spPr>
        <a:xfrm>
          <a:off x="4124325" y="3565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224" name="Line 224"/>
        <xdr:cNvSpPr>
          <a:spLocks/>
        </xdr:cNvSpPr>
      </xdr:nvSpPr>
      <xdr:spPr>
        <a:xfrm>
          <a:off x="4124325" y="3567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225" name="Line 225"/>
        <xdr:cNvSpPr>
          <a:spLocks/>
        </xdr:cNvSpPr>
      </xdr:nvSpPr>
      <xdr:spPr>
        <a:xfrm>
          <a:off x="4124325" y="3567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226" name="Line 226"/>
        <xdr:cNvSpPr>
          <a:spLocks/>
        </xdr:cNvSpPr>
      </xdr:nvSpPr>
      <xdr:spPr>
        <a:xfrm>
          <a:off x="4124325" y="3567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227" name="Line 227"/>
        <xdr:cNvSpPr>
          <a:spLocks/>
        </xdr:cNvSpPr>
      </xdr:nvSpPr>
      <xdr:spPr>
        <a:xfrm>
          <a:off x="4124325" y="3567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228" name="Line 228"/>
        <xdr:cNvSpPr>
          <a:spLocks/>
        </xdr:cNvSpPr>
      </xdr:nvSpPr>
      <xdr:spPr>
        <a:xfrm>
          <a:off x="4124325" y="3567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144</xdr:row>
      <xdr:rowOff>0</xdr:rowOff>
    </xdr:from>
    <xdr:to>
      <xdr:col>4</xdr:col>
      <xdr:colOff>0</xdr:colOff>
      <xdr:row>144</xdr:row>
      <xdr:rowOff>0</xdr:rowOff>
    </xdr:to>
    <xdr:sp>
      <xdr:nvSpPr>
        <xdr:cNvPr id="229" name="Line 229"/>
        <xdr:cNvSpPr>
          <a:spLocks/>
        </xdr:cNvSpPr>
      </xdr:nvSpPr>
      <xdr:spPr>
        <a:xfrm>
          <a:off x="4124325" y="4631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144</xdr:row>
      <xdr:rowOff>123825</xdr:rowOff>
    </xdr:from>
    <xdr:to>
      <xdr:col>4</xdr:col>
      <xdr:colOff>0</xdr:colOff>
      <xdr:row>144</xdr:row>
      <xdr:rowOff>123825</xdr:rowOff>
    </xdr:to>
    <xdr:sp>
      <xdr:nvSpPr>
        <xdr:cNvPr id="230" name="Line 230"/>
        <xdr:cNvSpPr>
          <a:spLocks/>
        </xdr:cNvSpPr>
      </xdr:nvSpPr>
      <xdr:spPr>
        <a:xfrm>
          <a:off x="4124325" y="464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31" name="Line 231"/>
        <xdr:cNvSpPr>
          <a:spLocks/>
        </xdr:cNvSpPr>
      </xdr:nvSpPr>
      <xdr:spPr>
        <a:xfrm>
          <a:off x="4124325" y="475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32" name="Line 232"/>
        <xdr:cNvSpPr>
          <a:spLocks/>
        </xdr:cNvSpPr>
      </xdr:nvSpPr>
      <xdr:spPr>
        <a:xfrm>
          <a:off x="4124325" y="475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33" name="Line 233"/>
        <xdr:cNvSpPr>
          <a:spLocks/>
        </xdr:cNvSpPr>
      </xdr:nvSpPr>
      <xdr:spPr>
        <a:xfrm>
          <a:off x="4124325" y="475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34" name="Line 234"/>
        <xdr:cNvSpPr>
          <a:spLocks/>
        </xdr:cNvSpPr>
      </xdr:nvSpPr>
      <xdr:spPr>
        <a:xfrm>
          <a:off x="4124325" y="475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35" name="Line 235"/>
        <xdr:cNvSpPr>
          <a:spLocks/>
        </xdr:cNvSpPr>
      </xdr:nvSpPr>
      <xdr:spPr>
        <a:xfrm>
          <a:off x="4124325" y="475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36" name="Line 236"/>
        <xdr:cNvSpPr>
          <a:spLocks/>
        </xdr:cNvSpPr>
      </xdr:nvSpPr>
      <xdr:spPr>
        <a:xfrm>
          <a:off x="4124325" y="475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37" name="Line 237"/>
        <xdr:cNvSpPr>
          <a:spLocks/>
        </xdr:cNvSpPr>
      </xdr:nvSpPr>
      <xdr:spPr>
        <a:xfrm>
          <a:off x="4124325" y="475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38" name="Line 238"/>
        <xdr:cNvSpPr>
          <a:spLocks/>
        </xdr:cNvSpPr>
      </xdr:nvSpPr>
      <xdr:spPr>
        <a:xfrm>
          <a:off x="4124325" y="475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151</xdr:row>
      <xdr:rowOff>142875</xdr:rowOff>
    </xdr:from>
    <xdr:to>
      <xdr:col>4</xdr:col>
      <xdr:colOff>0</xdr:colOff>
      <xdr:row>151</xdr:row>
      <xdr:rowOff>142875</xdr:rowOff>
    </xdr:to>
    <xdr:sp>
      <xdr:nvSpPr>
        <xdr:cNvPr id="239" name="Line 239"/>
        <xdr:cNvSpPr>
          <a:spLocks/>
        </xdr:cNvSpPr>
      </xdr:nvSpPr>
      <xdr:spPr>
        <a:xfrm>
          <a:off x="4124325" y="4849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153</xdr:row>
      <xdr:rowOff>0</xdr:rowOff>
    </xdr:from>
    <xdr:to>
      <xdr:col>4</xdr:col>
      <xdr:colOff>0</xdr:colOff>
      <xdr:row>153</xdr:row>
      <xdr:rowOff>0</xdr:rowOff>
    </xdr:to>
    <xdr:sp>
      <xdr:nvSpPr>
        <xdr:cNvPr id="240" name="Line 240"/>
        <xdr:cNvSpPr>
          <a:spLocks/>
        </xdr:cNvSpPr>
      </xdr:nvSpPr>
      <xdr:spPr>
        <a:xfrm>
          <a:off x="4124325" y="4883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153</xdr:row>
      <xdr:rowOff>0</xdr:rowOff>
    </xdr:from>
    <xdr:to>
      <xdr:col>4</xdr:col>
      <xdr:colOff>0</xdr:colOff>
      <xdr:row>153</xdr:row>
      <xdr:rowOff>0</xdr:rowOff>
    </xdr:to>
    <xdr:sp>
      <xdr:nvSpPr>
        <xdr:cNvPr id="241" name="Line 241"/>
        <xdr:cNvSpPr>
          <a:spLocks/>
        </xdr:cNvSpPr>
      </xdr:nvSpPr>
      <xdr:spPr>
        <a:xfrm>
          <a:off x="4124325" y="4883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153</xdr:row>
      <xdr:rowOff>0</xdr:rowOff>
    </xdr:from>
    <xdr:to>
      <xdr:col>4</xdr:col>
      <xdr:colOff>0</xdr:colOff>
      <xdr:row>153</xdr:row>
      <xdr:rowOff>0</xdr:rowOff>
    </xdr:to>
    <xdr:sp>
      <xdr:nvSpPr>
        <xdr:cNvPr id="242" name="Line 242"/>
        <xdr:cNvSpPr>
          <a:spLocks/>
        </xdr:cNvSpPr>
      </xdr:nvSpPr>
      <xdr:spPr>
        <a:xfrm>
          <a:off x="4124325" y="4883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153</xdr:row>
      <xdr:rowOff>0</xdr:rowOff>
    </xdr:from>
    <xdr:to>
      <xdr:col>4</xdr:col>
      <xdr:colOff>0</xdr:colOff>
      <xdr:row>153</xdr:row>
      <xdr:rowOff>0</xdr:rowOff>
    </xdr:to>
    <xdr:sp>
      <xdr:nvSpPr>
        <xdr:cNvPr id="243" name="Line 243"/>
        <xdr:cNvSpPr>
          <a:spLocks/>
        </xdr:cNvSpPr>
      </xdr:nvSpPr>
      <xdr:spPr>
        <a:xfrm>
          <a:off x="4124325" y="4883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153</xdr:row>
      <xdr:rowOff>0</xdr:rowOff>
    </xdr:from>
    <xdr:to>
      <xdr:col>4</xdr:col>
      <xdr:colOff>0</xdr:colOff>
      <xdr:row>153</xdr:row>
      <xdr:rowOff>0</xdr:rowOff>
    </xdr:to>
    <xdr:sp>
      <xdr:nvSpPr>
        <xdr:cNvPr id="244" name="Line 244"/>
        <xdr:cNvSpPr>
          <a:spLocks/>
        </xdr:cNvSpPr>
      </xdr:nvSpPr>
      <xdr:spPr>
        <a:xfrm>
          <a:off x="4124325" y="4883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153</xdr:row>
      <xdr:rowOff>0</xdr:rowOff>
    </xdr:from>
    <xdr:to>
      <xdr:col>4</xdr:col>
      <xdr:colOff>0</xdr:colOff>
      <xdr:row>153</xdr:row>
      <xdr:rowOff>0</xdr:rowOff>
    </xdr:to>
    <xdr:sp>
      <xdr:nvSpPr>
        <xdr:cNvPr id="245" name="Line 245"/>
        <xdr:cNvSpPr>
          <a:spLocks/>
        </xdr:cNvSpPr>
      </xdr:nvSpPr>
      <xdr:spPr>
        <a:xfrm>
          <a:off x="4124325" y="4883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153</xdr:row>
      <xdr:rowOff>0</xdr:rowOff>
    </xdr:from>
    <xdr:to>
      <xdr:col>4</xdr:col>
      <xdr:colOff>0</xdr:colOff>
      <xdr:row>153</xdr:row>
      <xdr:rowOff>0</xdr:rowOff>
    </xdr:to>
    <xdr:sp>
      <xdr:nvSpPr>
        <xdr:cNvPr id="246" name="Line 246"/>
        <xdr:cNvSpPr>
          <a:spLocks/>
        </xdr:cNvSpPr>
      </xdr:nvSpPr>
      <xdr:spPr>
        <a:xfrm>
          <a:off x="4124325" y="4883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164</xdr:row>
      <xdr:rowOff>0</xdr:rowOff>
    </xdr:from>
    <xdr:to>
      <xdr:col>4</xdr:col>
      <xdr:colOff>0</xdr:colOff>
      <xdr:row>164</xdr:row>
      <xdr:rowOff>0</xdr:rowOff>
    </xdr:to>
    <xdr:sp>
      <xdr:nvSpPr>
        <xdr:cNvPr id="247" name="Line 247"/>
        <xdr:cNvSpPr>
          <a:spLocks/>
        </xdr:cNvSpPr>
      </xdr:nvSpPr>
      <xdr:spPr>
        <a:xfrm>
          <a:off x="4124325" y="515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164</xdr:row>
      <xdr:rowOff>0</xdr:rowOff>
    </xdr:from>
    <xdr:to>
      <xdr:col>4</xdr:col>
      <xdr:colOff>0</xdr:colOff>
      <xdr:row>164</xdr:row>
      <xdr:rowOff>0</xdr:rowOff>
    </xdr:to>
    <xdr:sp>
      <xdr:nvSpPr>
        <xdr:cNvPr id="248" name="Line 248"/>
        <xdr:cNvSpPr>
          <a:spLocks/>
        </xdr:cNvSpPr>
      </xdr:nvSpPr>
      <xdr:spPr>
        <a:xfrm>
          <a:off x="4124325" y="515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164</xdr:row>
      <xdr:rowOff>0</xdr:rowOff>
    </xdr:from>
    <xdr:to>
      <xdr:col>4</xdr:col>
      <xdr:colOff>0</xdr:colOff>
      <xdr:row>164</xdr:row>
      <xdr:rowOff>0</xdr:rowOff>
    </xdr:to>
    <xdr:sp>
      <xdr:nvSpPr>
        <xdr:cNvPr id="249" name="Line 249"/>
        <xdr:cNvSpPr>
          <a:spLocks/>
        </xdr:cNvSpPr>
      </xdr:nvSpPr>
      <xdr:spPr>
        <a:xfrm>
          <a:off x="4124325" y="515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164</xdr:row>
      <xdr:rowOff>0</xdr:rowOff>
    </xdr:from>
    <xdr:to>
      <xdr:col>4</xdr:col>
      <xdr:colOff>0</xdr:colOff>
      <xdr:row>164</xdr:row>
      <xdr:rowOff>0</xdr:rowOff>
    </xdr:to>
    <xdr:sp>
      <xdr:nvSpPr>
        <xdr:cNvPr id="250" name="Line 250"/>
        <xdr:cNvSpPr>
          <a:spLocks/>
        </xdr:cNvSpPr>
      </xdr:nvSpPr>
      <xdr:spPr>
        <a:xfrm>
          <a:off x="4124325" y="515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164</xdr:row>
      <xdr:rowOff>0</xdr:rowOff>
    </xdr:from>
    <xdr:to>
      <xdr:col>4</xdr:col>
      <xdr:colOff>0</xdr:colOff>
      <xdr:row>164</xdr:row>
      <xdr:rowOff>0</xdr:rowOff>
    </xdr:to>
    <xdr:sp>
      <xdr:nvSpPr>
        <xdr:cNvPr id="251" name="Line 251"/>
        <xdr:cNvSpPr>
          <a:spLocks/>
        </xdr:cNvSpPr>
      </xdr:nvSpPr>
      <xdr:spPr>
        <a:xfrm>
          <a:off x="4124325" y="515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164</xdr:row>
      <xdr:rowOff>0</xdr:rowOff>
    </xdr:from>
    <xdr:to>
      <xdr:col>4</xdr:col>
      <xdr:colOff>0</xdr:colOff>
      <xdr:row>164</xdr:row>
      <xdr:rowOff>0</xdr:rowOff>
    </xdr:to>
    <xdr:sp>
      <xdr:nvSpPr>
        <xdr:cNvPr id="252" name="Line 252"/>
        <xdr:cNvSpPr>
          <a:spLocks/>
        </xdr:cNvSpPr>
      </xdr:nvSpPr>
      <xdr:spPr>
        <a:xfrm>
          <a:off x="4124325" y="515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164</xdr:row>
      <xdr:rowOff>0</xdr:rowOff>
    </xdr:from>
    <xdr:to>
      <xdr:col>4</xdr:col>
      <xdr:colOff>0</xdr:colOff>
      <xdr:row>164</xdr:row>
      <xdr:rowOff>0</xdr:rowOff>
    </xdr:to>
    <xdr:sp>
      <xdr:nvSpPr>
        <xdr:cNvPr id="253" name="Line 253"/>
        <xdr:cNvSpPr>
          <a:spLocks/>
        </xdr:cNvSpPr>
      </xdr:nvSpPr>
      <xdr:spPr>
        <a:xfrm>
          <a:off x="4124325" y="515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164</xdr:row>
      <xdr:rowOff>0</xdr:rowOff>
    </xdr:from>
    <xdr:to>
      <xdr:col>4</xdr:col>
      <xdr:colOff>0</xdr:colOff>
      <xdr:row>164</xdr:row>
      <xdr:rowOff>0</xdr:rowOff>
    </xdr:to>
    <xdr:sp>
      <xdr:nvSpPr>
        <xdr:cNvPr id="254" name="Line 254"/>
        <xdr:cNvSpPr>
          <a:spLocks/>
        </xdr:cNvSpPr>
      </xdr:nvSpPr>
      <xdr:spPr>
        <a:xfrm>
          <a:off x="4124325" y="515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164</xdr:row>
      <xdr:rowOff>0</xdr:rowOff>
    </xdr:from>
    <xdr:to>
      <xdr:col>4</xdr:col>
      <xdr:colOff>0</xdr:colOff>
      <xdr:row>164</xdr:row>
      <xdr:rowOff>0</xdr:rowOff>
    </xdr:to>
    <xdr:sp>
      <xdr:nvSpPr>
        <xdr:cNvPr id="255" name="Line 255"/>
        <xdr:cNvSpPr>
          <a:spLocks/>
        </xdr:cNvSpPr>
      </xdr:nvSpPr>
      <xdr:spPr>
        <a:xfrm>
          <a:off x="4124325" y="515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164</xdr:row>
      <xdr:rowOff>0</xdr:rowOff>
    </xdr:from>
    <xdr:to>
      <xdr:col>4</xdr:col>
      <xdr:colOff>0</xdr:colOff>
      <xdr:row>164</xdr:row>
      <xdr:rowOff>0</xdr:rowOff>
    </xdr:to>
    <xdr:sp>
      <xdr:nvSpPr>
        <xdr:cNvPr id="256" name="Line 256"/>
        <xdr:cNvSpPr>
          <a:spLocks/>
        </xdr:cNvSpPr>
      </xdr:nvSpPr>
      <xdr:spPr>
        <a:xfrm>
          <a:off x="4124325" y="515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164</xdr:row>
      <xdr:rowOff>0</xdr:rowOff>
    </xdr:from>
    <xdr:to>
      <xdr:col>4</xdr:col>
      <xdr:colOff>0</xdr:colOff>
      <xdr:row>164</xdr:row>
      <xdr:rowOff>0</xdr:rowOff>
    </xdr:to>
    <xdr:sp>
      <xdr:nvSpPr>
        <xdr:cNvPr id="257" name="Line 257"/>
        <xdr:cNvSpPr>
          <a:spLocks/>
        </xdr:cNvSpPr>
      </xdr:nvSpPr>
      <xdr:spPr>
        <a:xfrm>
          <a:off x="4124325" y="515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164</xdr:row>
      <xdr:rowOff>0</xdr:rowOff>
    </xdr:from>
    <xdr:to>
      <xdr:col>4</xdr:col>
      <xdr:colOff>0</xdr:colOff>
      <xdr:row>164</xdr:row>
      <xdr:rowOff>0</xdr:rowOff>
    </xdr:to>
    <xdr:sp>
      <xdr:nvSpPr>
        <xdr:cNvPr id="258" name="Line 258"/>
        <xdr:cNvSpPr>
          <a:spLocks/>
        </xdr:cNvSpPr>
      </xdr:nvSpPr>
      <xdr:spPr>
        <a:xfrm>
          <a:off x="4124325" y="515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164</xdr:row>
      <xdr:rowOff>0</xdr:rowOff>
    </xdr:from>
    <xdr:to>
      <xdr:col>4</xdr:col>
      <xdr:colOff>0</xdr:colOff>
      <xdr:row>164</xdr:row>
      <xdr:rowOff>0</xdr:rowOff>
    </xdr:to>
    <xdr:sp>
      <xdr:nvSpPr>
        <xdr:cNvPr id="259" name="Line 259"/>
        <xdr:cNvSpPr>
          <a:spLocks/>
        </xdr:cNvSpPr>
      </xdr:nvSpPr>
      <xdr:spPr>
        <a:xfrm>
          <a:off x="4124325" y="515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164</xdr:row>
      <xdr:rowOff>0</xdr:rowOff>
    </xdr:from>
    <xdr:to>
      <xdr:col>4</xdr:col>
      <xdr:colOff>0</xdr:colOff>
      <xdr:row>164</xdr:row>
      <xdr:rowOff>0</xdr:rowOff>
    </xdr:to>
    <xdr:sp>
      <xdr:nvSpPr>
        <xdr:cNvPr id="260" name="Line 260"/>
        <xdr:cNvSpPr>
          <a:spLocks/>
        </xdr:cNvSpPr>
      </xdr:nvSpPr>
      <xdr:spPr>
        <a:xfrm>
          <a:off x="4124325" y="515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164</xdr:row>
      <xdr:rowOff>0</xdr:rowOff>
    </xdr:from>
    <xdr:to>
      <xdr:col>4</xdr:col>
      <xdr:colOff>0</xdr:colOff>
      <xdr:row>164</xdr:row>
      <xdr:rowOff>0</xdr:rowOff>
    </xdr:to>
    <xdr:sp>
      <xdr:nvSpPr>
        <xdr:cNvPr id="261" name="Line 261"/>
        <xdr:cNvSpPr>
          <a:spLocks/>
        </xdr:cNvSpPr>
      </xdr:nvSpPr>
      <xdr:spPr>
        <a:xfrm>
          <a:off x="4124325" y="515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62" name="Line 262"/>
        <xdr:cNvSpPr>
          <a:spLocks/>
        </xdr:cNvSpPr>
      </xdr:nvSpPr>
      <xdr:spPr>
        <a:xfrm>
          <a:off x="412432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63" name="Line 263"/>
        <xdr:cNvSpPr>
          <a:spLocks/>
        </xdr:cNvSpPr>
      </xdr:nvSpPr>
      <xdr:spPr>
        <a:xfrm>
          <a:off x="412432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64" name="Line 264"/>
        <xdr:cNvSpPr>
          <a:spLocks/>
        </xdr:cNvSpPr>
      </xdr:nvSpPr>
      <xdr:spPr>
        <a:xfrm>
          <a:off x="412432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123825</xdr:rowOff>
    </xdr:from>
    <xdr:to>
      <xdr:col>4</xdr:col>
      <xdr:colOff>0</xdr:colOff>
      <xdr:row>15</xdr:row>
      <xdr:rowOff>123825</xdr:rowOff>
    </xdr:to>
    <xdr:sp>
      <xdr:nvSpPr>
        <xdr:cNvPr id="265" name="Line 265"/>
        <xdr:cNvSpPr>
          <a:spLocks/>
        </xdr:cNvSpPr>
      </xdr:nvSpPr>
      <xdr:spPr>
        <a:xfrm>
          <a:off x="4124325" y="334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161925</xdr:rowOff>
    </xdr:from>
    <xdr:to>
      <xdr:col>4</xdr:col>
      <xdr:colOff>0</xdr:colOff>
      <xdr:row>20</xdr:row>
      <xdr:rowOff>161925</xdr:rowOff>
    </xdr:to>
    <xdr:sp>
      <xdr:nvSpPr>
        <xdr:cNvPr id="266" name="Line 266"/>
        <xdr:cNvSpPr>
          <a:spLocks/>
        </xdr:cNvSpPr>
      </xdr:nvSpPr>
      <xdr:spPr>
        <a:xfrm>
          <a:off x="4124325" y="524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161925</xdr:rowOff>
    </xdr:from>
    <xdr:to>
      <xdr:col>4</xdr:col>
      <xdr:colOff>0</xdr:colOff>
      <xdr:row>20</xdr:row>
      <xdr:rowOff>161925</xdr:rowOff>
    </xdr:to>
    <xdr:sp>
      <xdr:nvSpPr>
        <xdr:cNvPr id="267" name="Line 267"/>
        <xdr:cNvSpPr>
          <a:spLocks/>
        </xdr:cNvSpPr>
      </xdr:nvSpPr>
      <xdr:spPr>
        <a:xfrm>
          <a:off x="4124325" y="524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268" name="Line 268"/>
        <xdr:cNvSpPr>
          <a:spLocks/>
        </xdr:cNvSpPr>
      </xdr:nvSpPr>
      <xdr:spPr>
        <a:xfrm>
          <a:off x="4124325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269" name="Line 269"/>
        <xdr:cNvSpPr>
          <a:spLocks/>
        </xdr:cNvSpPr>
      </xdr:nvSpPr>
      <xdr:spPr>
        <a:xfrm>
          <a:off x="4124325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270" name="Line 270"/>
        <xdr:cNvSpPr>
          <a:spLocks/>
        </xdr:cNvSpPr>
      </xdr:nvSpPr>
      <xdr:spPr>
        <a:xfrm>
          <a:off x="4124325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271" name="Line 271"/>
        <xdr:cNvSpPr>
          <a:spLocks/>
        </xdr:cNvSpPr>
      </xdr:nvSpPr>
      <xdr:spPr>
        <a:xfrm>
          <a:off x="4124325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90</xdr:row>
      <xdr:rowOff>133350</xdr:rowOff>
    </xdr:from>
    <xdr:to>
      <xdr:col>4</xdr:col>
      <xdr:colOff>0</xdr:colOff>
      <xdr:row>90</xdr:row>
      <xdr:rowOff>133350</xdr:rowOff>
    </xdr:to>
    <xdr:sp>
      <xdr:nvSpPr>
        <xdr:cNvPr id="272" name="Line 272"/>
        <xdr:cNvSpPr>
          <a:spLocks/>
        </xdr:cNvSpPr>
      </xdr:nvSpPr>
      <xdr:spPr>
        <a:xfrm>
          <a:off x="4124325" y="2871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90</xdr:row>
      <xdr:rowOff>142875</xdr:rowOff>
    </xdr:from>
    <xdr:to>
      <xdr:col>4</xdr:col>
      <xdr:colOff>0</xdr:colOff>
      <xdr:row>90</xdr:row>
      <xdr:rowOff>142875</xdr:rowOff>
    </xdr:to>
    <xdr:sp>
      <xdr:nvSpPr>
        <xdr:cNvPr id="273" name="Line 273"/>
        <xdr:cNvSpPr>
          <a:spLocks/>
        </xdr:cNvSpPr>
      </xdr:nvSpPr>
      <xdr:spPr>
        <a:xfrm>
          <a:off x="4124325" y="2872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94</xdr:row>
      <xdr:rowOff>133350</xdr:rowOff>
    </xdr:from>
    <xdr:to>
      <xdr:col>4</xdr:col>
      <xdr:colOff>0</xdr:colOff>
      <xdr:row>94</xdr:row>
      <xdr:rowOff>133350</xdr:rowOff>
    </xdr:to>
    <xdr:sp>
      <xdr:nvSpPr>
        <xdr:cNvPr id="274" name="Line 274"/>
        <xdr:cNvSpPr>
          <a:spLocks/>
        </xdr:cNvSpPr>
      </xdr:nvSpPr>
      <xdr:spPr>
        <a:xfrm>
          <a:off x="4124325" y="2996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94</xdr:row>
      <xdr:rowOff>142875</xdr:rowOff>
    </xdr:from>
    <xdr:to>
      <xdr:col>4</xdr:col>
      <xdr:colOff>0</xdr:colOff>
      <xdr:row>94</xdr:row>
      <xdr:rowOff>142875</xdr:rowOff>
    </xdr:to>
    <xdr:sp>
      <xdr:nvSpPr>
        <xdr:cNvPr id="275" name="Line 275"/>
        <xdr:cNvSpPr>
          <a:spLocks/>
        </xdr:cNvSpPr>
      </xdr:nvSpPr>
      <xdr:spPr>
        <a:xfrm>
          <a:off x="4124325" y="2997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276" name="Line 276"/>
        <xdr:cNvSpPr>
          <a:spLocks/>
        </xdr:cNvSpPr>
      </xdr:nvSpPr>
      <xdr:spPr>
        <a:xfrm>
          <a:off x="4124325" y="3567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277" name="Line 277"/>
        <xdr:cNvSpPr>
          <a:spLocks/>
        </xdr:cNvSpPr>
      </xdr:nvSpPr>
      <xdr:spPr>
        <a:xfrm>
          <a:off x="4124325" y="3567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278" name="Line 278"/>
        <xdr:cNvSpPr>
          <a:spLocks/>
        </xdr:cNvSpPr>
      </xdr:nvSpPr>
      <xdr:spPr>
        <a:xfrm>
          <a:off x="4124325" y="3567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279" name="Line 279"/>
        <xdr:cNvSpPr>
          <a:spLocks/>
        </xdr:cNvSpPr>
      </xdr:nvSpPr>
      <xdr:spPr>
        <a:xfrm>
          <a:off x="4124325" y="3567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280" name="Line 280"/>
        <xdr:cNvSpPr>
          <a:spLocks/>
        </xdr:cNvSpPr>
      </xdr:nvSpPr>
      <xdr:spPr>
        <a:xfrm>
          <a:off x="4124325" y="3567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144</xdr:row>
      <xdr:rowOff>0</xdr:rowOff>
    </xdr:from>
    <xdr:to>
      <xdr:col>4</xdr:col>
      <xdr:colOff>0</xdr:colOff>
      <xdr:row>144</xdr:row>
      <xdr:rowOff>0</xdr:rowOff>
    </xdr:to>
    <xdr:sp>
      <xdr:nvSpPr>
        <xdr:cNvPr id="281" name="Line 281"/>
        <xdr:cNvSpPr>
          <a:spLocks/>
        </xdr:cNvSpPr>
      </xdr:nvSpPr>
      <xdr:spPr>
        <a:xfrm>
          <a:off x="4124325" y="4631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145</xdr:row>
      <xdr:rowOff>0</xdr:rowOff>
    </xdr:from>
    <xdr:to>
      <xdr:col>4</xdr:col>
      <xdr:colOff>0</xdr:colOff>
      <xdr:row>145</xdr:row>
      <xdr:rowOff>0</xdr:rowOff>
    </xdr:to>
    <xdr:sp>
      <xdr:nvSpPr>
        <xdr:cNvPr id="282" name="Line 282"/>
        <xdr:cNvSpPr>
          <a:spLocks/>
        </xdr:cNvSpPr>
      </xdr:nvSpPr>
      <xdr:spPr>
        <a:xfrm>
          <a:off x="4124325" y="4647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83" name="Line 283"/>
        <xdr:cNvSpPr>
          <a:spLocks/>
        </xdr:cNvSpPr>
      </xdr:nvSpPr>
      <xdr:spPr>
        <a:xfrm>
          <a:off x="4124325" y="475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84" name="Line 284"/>
        <xdr:cNvSpPr>
          <a:spLocks/>
        </xdr:cNvSpPr>
      </xdr:nvSpPr>
      <xdr:spPr>
        <a:xfrm>
          <a:off x="4124325" y="475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85" name="Line 285"/>
        <xdr:cNvSpPr>
          <a:spLocks/>
        </xdr:cNvSpPr>
      </xdr:nvSpPr>
      <xdr:spPr>
        <a:xfrm>
          <a:off x="4124325" y="475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86" name="Line 286"/>
        <xdr:cNvSpPr>
          <a:spLocks/>
        </xdr:cNvSpPr>
      </xdr:nvSpPr>
      <xdr:spPr>
        <a:xfrm>
          <a:off x="4124325" y="475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87" name="Line 287"/>
        <xdr:cNvSpPr>
          <a:spLocks/>
        </xdr:cNvSpPr>
      </xdr:nvSpPr>
      <xdr:spPr>
        <a:xfrm>
          <a:off x="4124325" y="475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152</xdr:row>
      <xdr:rowOff>0</xdr:rowOff>
    </xdr:from>
    <xdr:to>
      <xdr:col>4</xdr:col>
      <xdr:colOff>0</xdr:colOff>
      <xdr:row>152</xdr:row>
      <xdr:rowOff>0</xdr:rowOff>
    </xdr:to>
    <xdr:sp>
      <xdr:nvSpPr>
        <xdr:cNvPr id="288" name="Line 288"/>
        <xdr:cNvSpPr>
          <a:spLocks/>
        </xdr:cNvSpPr>
      </xdr:nvSpPr>
      <xdr:spPr>
        <a:xfrm>
          <a:off x="4124325" y="4867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153</xdr:row>
      <xdr:rowOff>0</xdr:rowOff>
    </xdr:from>
    <xdr:to>
      <xdr:col>4</xdr:col>
      <xdr:colOff>0</xdr:colOff>
      <xdr:row>153</xdr:row>
      <xdr:rowOff>0</xdr:rowOff>
    </xdr:to>
    <xdr:sp>
      <xdr:nvSpPr>
        <xdr:cNvPr id="289" name="Line 289"/>
        <xdr:cNvSpPr>
          <a:spLocks/>
        </xdr:cNvSpPr>
      </xdr:nvSpPr>
      <xdr:spPr>
        <a:xfrm>
          <a:off x="4124325" y="4883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153</xdr:row>
      <xdr:rowOff>0</xdr:rowOff>
    </xdr:from>
    <xdr:to>
      <xdr:col>4</xdr:col>
      <xdr:colOff>0</xdr:colOff>
      <xdr:row>153</xdr:row>
      <xdr:rowOff>0</xdr:rowOff>
    </xdr:to>
    <xdr:sp>
      <xdr:nvSpPr>
        <xdr:cNvPr id="290" name="Line 290"/>
        <xdr:cNvSpPr>
          <a:spLocks/>
        </xdr:cNvSpPr>
      </xdr:nvSpPr>
      <xdr:spPr>
        <a:xfrm>
          <a:off x="4124325" y="4883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153</xdr:row>
      <xdr:rowOff>0</xdr:rowOff>
    </xdr:from>
    <xdr:to>
      <xdr:col>4</xdr:col>
      <xdr:colOff>0</xdr:colOff>
      <xdr:row>153</xdr:row>
      <xdr:rowOff>0</xdr:rowOff>
    </xdr:to>
    <xdr:sp>
      <xdr:nvSpPr>
        <xdr:cNvPr id="291" name="Line 291"/>
        <xdr:cNvSpPr>
          <a:spLocks/>
        </xdr:cNvSpPr>
      </xdr:nvSpPr>
      <xdr:spPr>
        <a:xfrm>
          <a:off x="4124325" y="4883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153</xdr:row>
      <xdr:rowOff>0</xdr:rowOff>
    </xdr:from>
    <xdr:to>
      <xdr:col>4</xdr:col>
      <xdr:colOff>0</xdr:colOff>
      <xdr:row>153</xdr:row>
      <xdr:rowOff>0</xdr:rowOff>
    </xdr:to>
    <xdr:sp>
      <xdr:nvSpPr>
        <xdr:cNvPr id="292" name="Line 292"/>
        <xdr:cNvSpPr>
          <a:spLocks/>
        </xdr:cNvSpPr>
      </xdr:nvSpPr>
      <xdr:spPr>
        <a:xfrm>
          <a:off x="4124325" y="4883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153</xdr:row>
      <xdr:rowOff>0</xdr:rowOff>
    </xdr:from>
    <xdr:to>
      <xdr:col>4</xdr:col>
      <xdr:colOff>0</xdr:colOff>
      <xdr:row>153</xdr:row>
      <xdr:rowOff>0</xdr:rowOff>
    </xdr:to>
    <xdr:sp>
      <xdr:nvSpPr>
        <xdr:cNvPr id="293" name="Line 293"/>
        <xdr:cNvSpPr>
          <a:spLocks/>
        </xdr:cNvSpPr>
      </xdr:nvSpPr>
      <xdr:spPr>
        <a:xfrm>
          <a:off x="4124325" y="4883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153</xdr:row>
      <xdr:rowOff>0</xdr:rowOff>
    </xdr:from>
    <xdr:to>
      <xdr:col>4</xdr:col>
      <xdr:colOff>0</xdr:colOff>
      <xdr:row>153</xdr:row>
      <xdr:rowOff>0</xdr:rowOff>
    </xdr:to>
    <xdr:sp>
      <xdr:nvSpPr>
        <xdr:cNvPr id="294" name="Line 294"/>
        <xdr:cNvSpPr>
          <a:spLocks/>
        </xdr:cNvSpPr>
      </xdr:nvSpPr>
      <xdr:spPr>
        <a:xfrm>
          <a:off x="4124325" y="4883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153</xdr:row>
      <xdr:rowOff>0</xdr:rowOff>
    </xdr:from>
    <xdr:to>
      <xdr:col>4</xdr:col>
      <xdr:colOff>0</xdr:colOff>
      <xdr:row>153</xdr:row>
      <xdr:rowOff>0</xdr:rowOff>
    </xdr:to>
    <xdr:sp>
      <xdr:nvSpPr>
        <xdr:cNvPr id="295" name="Line 295"/>
        <xdr:cNvSpPr>
          <a:spLocks/>
        </xdr:cNvSpPr>
      </xdr:nvSpPr>
      <xdr:spPr>
        <a:xfrm>
          <a:off x="4124325" y="4883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164</xdr:row>
      <xdr:rowOff>0</xdr:rowOff>
    </xdr:from>
    <xdr:to>
      <xdr:col>4</xdr:col>
      <xdr:colOff>0</xdr:colOff>
      <xdr:row>164</xdr:row>
      <xdr:rowOff>0</xdr:rowOff>
    </xdr:to>
    <xdr:sp>
      <xdr:nvSpPr>
        <xdr:cNvPr id="296" name="Line 296"/>
        <xdr:cNvSpPr>
          <a:spLocks/>
        </xdr:cNvSpPr>
      </xdr:nvSpPr>
      <xdr:spPr>
        <a:xfrm>
          <a:off x="4124325" y="515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164</xdr:row>
      <xdr:rowOff>0</xdr:rowOff>
    </xdr:from>
    <xdr:to>
      <xdr:col>4</xdr:col>
      <xdr:colOff>0</xdr:colOff>
      <xdr:row>164</xdr:row>
      <xdr:rowOff>0</xdr:rowOff>
    </xdr:to>
    <xdr:sp>
      <xdr:nvSpPr>
        <xdr:cNvPr id="297" name="Line 297"/>
        <xdr:cNvSpPr>
          <a:spLocks/>
        </xdr:cNvSpPr>
      </xdr:nvSpPr>
      <xdr:spPr>
        <a:xfrm>
          <a:off x="4124325" y="515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164</xdr:row>
      <xdr:rowOff>0</xdr:rowOff>
    </xdr:from>
    <xdr:to>
      <xdr:col>4</xdr:col>
      <xdr:colOff>0</xdr:colOff>
      <xdr:row>164</xdr:row>
      <xdr:rowOff>0</xdr:rowOff>
    </xdr:to>
    <xdr:sp>
      <xdr:nvSpPr>
        <xdr:cNvPr id="298" name="Line 298"/>
        <xdr:cNvSpPr>
          <a:spLocks/>
        </xdr:cNvSpPr>
      </xdr:nvSpPr>
      <xdr:spPr>
        <a:xfrm>
          <a:off x="4124325" y="515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164</xdr:row>
      <xdr:rowOff>0</xdr:rowOff>
    </xdr:from>
    <xdr:to>
      <xdr:col>4</xdr:col>
      <xdr:colOff>0</xdr:colOff>
      <xdr:row>164</xdr:row>
      <xdr:rowOff>0</xdr:rowOff>
    </xdr:to>
    <xdr:sp>
      <xdr:nvSpPr>
        <xdr:cNvPr id="299" name="Line 299"/>
        <xdr:cNvSpPr>
          <a:spLocks/>
        </xdr:cNvSpPr>
      </xdr:nvSpPr>
      <xdr:spPr>
        <a:xfrm>
          <a:off x="4124325" y="515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164</xdr:row>
      <xdr:rowOff>0</xdr:rowOff>
    </xdr:from>
    <xdr:to>
      <xdr:col>4</xdr:col>
      <xdr:colOff>0</xdr:colOff>
      <xdr:row>164</xdr:row>
      <xdr:rowOff>0</xdr:rowOff>
    </xdr:to>
    <xdr:sp>
      <xdr:nvSpPr>
        <xdr:cNvPr id="300" name="Line 300"/>
        <xdr:cNvSpPr>
          <a:spLocks/>
        </xdr:cNvSpPr>
      </xdr:nvSpPr>
      <xdr:spPr>
        <a:xfrm>
          <a:off x="4124325" y="515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164</xdr:row>
      <xdr:rowOff>0</xdr:rowOff>
    </xdr:from>
    <xdr:to>
      <xdr:col>4</xdr:col>
      <xdr:colOff>0</xdr:colOff>
      <xdr:row>164</xdr:row>
      <xdr:rowOff>0</xdr:rowOff>
    </xdr:to>
    <xdr:sp>
      <xdr:nvSpPr>
        <xdr:cNvPr id="301" name="Line 301"/>
        <xdr:cNvSpPr>
          <a:spLocks/>
        </xdr:cNvSpPr>
      </xdr:nvSpPr>
      <xdr:spPr>
        <a:xfrm>
          <a:off x="4124325" y="515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164</xdr:row>
      <xdr:rowOff>0</xdr:rowOff>
    </xdr:from>
    <xdr:to>
      <xdr:col>4</xdr:col>
      <xdr:colOff>0</xdr:colOff>
      <xdr:row>164</xdr:row>
      <xdr:rowOff>0</xdr:rowOff>
    </xdr:to>
    <xdr:sp>
      <xdr:nvSpPr>
        <xdr:cNvPr id="302" name="Line 302"/>
        <xdr:cNvSpPr>
          <a:spLocks/>
        </xdr:cNvSpPr>
      </xdr:nvSpPr>
      <xdr:spPr>
        <a:xfrm>
          <a:off x="4124325" y="515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164</xdr:row>
      <xdr:rowOff>0</xdr:rowOff>
    </xdr:from>
    <xdr:to>
      <xdr:col>4</xdr:col>
      <xdr:colOff>0</xdr:colOff>
      <xdr:row>164</xdr:row>
      <xdr:rowOff>0</xdr:rowOff>
    </xdr:to>
    <xdr:sp>
      <xdr:nvSpPr>
        <xdr:cNvPr id="303" name="Line 303"/>
        <xdr:cNvSpPr>
          <a:spLocks/>
        </xdr:cNvSpPr>
      </xdr:nvSpPr>
      <xdr:spPr>
        <a:xfrm>
          <a:off x="4124325" y="515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164</xdr:row>
      <xdr:rowOff>0</xdr:rowOff>
    </xdr:from>
    <xdr:to>
      <xdr:col>4</xdr:col>
      <xdr:colOff>0</xdr:colOff>
      <xdr:row>164</xdr:row>
      <xdr:rowOff>0</xdr:rowOff>
    </xdr:to>
    <xdr:sp>
      <xdr:nvSpPr>
        <xdr:cNvPr id="304" name="Line 304"/>
        <xdr:cNvSpPr>
          <a:spLocks/>
        </xdr:cNvSpPr>
      </xdr:nvSpPr>
      <xdr:spPr>
        <a:xfrm>
          <a:off x="4124325" y="515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164</xdr:row>
      <xdr:rowOff>0</xdr:rowOff>
    </xdr:from>
    <xdr:to>
      <xdr:col>4</xdr:col>
      <xdr:colOff>0</xdr:colOff>
      <xdr:row>164</xdr:row>
      <xdr:rowOff>0</xdr:rowOff>
    </xdr:to>
    <xdr:sp>
      <xdr:nvSpPr>
        <xdr:cNvPr id="305" name="Line 305"/>
        <xdr:cNvSpPr>
          <a:spLocks/>
        </xdr:cNvSpPr>
      </xdr:nvSpPr>
      <xdr:spPr>
        <a:xfrm>
          <a:off x="4124325" y="515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164</xdr:row>
      <xdr:rowOff>0</xdr:rowOff>
    </xdr:from>
    <xdr:to>
      <xdr:col>4</xdr:col>
      <xdr:colOff>0</xdr:colOff>
      <xdr:row>164</xdr:row>
      <xdr:rowOff>0</xdr:rowOff>
    </xdr:to>
    <xdr:sp>
      <xdr:nvSpPr>
        <xdr:cNvPr id="306" name="Line 306"/>
        <xdr:cNvSpPr>
          <a:spLocks/>
        </xdr:cNvSpPr>
      </xdr:nvSpPr>
      <xdr:spPr>
        <a:xfrm>
          <a:off x="4124325" y="515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164</xdr:row>
      <xdr:rowOff>0</xdr:rowOff>
    </xdr:from>
    <xdr:to>
      <xdr:col>4</xdr:col>
      <xdr:colOff>0</xdr:colOff>
      <xdr:row>164</xdr:row>
      <xdr:rowOff>0</xdr:rowOff>
    </xdr:to>
    <xdr:sp>
      <xdr:nvSpPr>
        <xdr:cNvPr id="307" name="Line 307"/>
        <xdr:cNvSpPr>
          <a:spLocks/>
        </xdr:cNvSpPr>
      </xdr:nvSpPr>
      <xdr:spPr>
        <a:xfrm>
          <a:off x="4124325" y="515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172</xdr:row>
      <xdr:rowOff>0</xdr:rowOff>
    </xdr:from>
    <xdr:to>
      <xdr:col>1</xdr:col>
      <xdr:colOff>466725</xdr:colOff>
      <xdr:row>172</xdr:row>
      <xdr:rowOff>0</xdr:rowOff>
    </xdr:to>
    <xdr:sp>
      <xdr:nvSpPr>
        <xdr:cNvPr id="308" name="Line 308"/>
        <xdr:cNvSpPr>
          <a:spLocks/>
        </xdr:cNvSpPr>
      </xdr:nvSpPr>
      <xdr:spPr>
        <a:xfrm>
          <a:off x="695325" y="531209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172</xdr:row>
      <xdr:rowOff>152400</xdr:rowOff>
    </xdr:from>
    <xdr:to>
      <xdr:col>1</xdr:col>
      <xdr:colOff>466725</xdr:colOff>
      <xdr:row>172</xdr:row>
      <xdr:rowOff>152400</xdr:rowOff>
    </xdr:to>
    <xdr:sp>
      <xdr:nvSpPr>
        <xdr:cNvPr id="309" name="Line 309"/>
        <xdr:cNvSpPr>
          <a:spLocks/>
        </xdr:cNvSpPr>
      </xdr:nvSpPr>
      <xdr:spPr>
        <a:xfrm>
          <a:off x="695325" y="53273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173</xdr:row>
      <xdr:rowOff>114300</xdr:rowOff>
    </xdr:from>
    <xdr:to>
      <xdr:col>1</xdr:col>
      <xdr:colOff>457200</xdr:colOff>
      <xdr:row>173</xdr:row>
      <xdr:rowOff>114300</xdr:rowOff>
    </xdr:to>
    <xdr:sp>
      <xdr:nvSpPr>
        <xdr:cNvPr id="310" name="Line 310"/>
        <xdr:cNvSpPr>
          <a:spLocks/>
        </xdr:cNvSpPr>
      </xdr:nvSpPr>
      <xdr:spPr>
        <a:xfrm>
          <a:off x="685800" y="533971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161925</xdr:rowOff>
    </xdr:from>
    <xdr:to>
      <xdr:col>4</xdr:col>
      <xdr:colOff>0</xdr:colOff>
      <xdr:row>30</xdr:row>
      <xdr:rowOff>161925</xdr:rowOff>
    </xdr:to>
    <xdr:sp>
      <xdr:nvSpPr>
        <xdr:cNvPr id="311" name="Line 311"/>
        <xdr:cNvSpPr>
          <a:spLocks/>
        </xdr:cNvSpPr>
      </xdr:nvSpPr>
      <xdr:spPr>
        <a:xfrm>
          <a:off x="4124325" y="917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257175</xdr:rowOff>
    </xdr:from>
    <xdr:to>
      <xdr:col>4</xdr:col>
      <xdr:colOff>0</xdr:colOff>
      <xdr:row>31</xdr:row>
      <xdr:rowOff>257175</xdr:rowOff>
    </xdr:to>
    <xdr:sp>
      <xdr:nvSpPr>
        <xdr:cNvPr id="312" name="Line 312"/>
        <xdr:cNvSpPr>
          <a:spLocks/>
        </xdr:cNvSpPr>
      </xdr:nvSpPr>
      <xdr:spPr>
        <a:xfrm>
          <a:off x="4124325" y="942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257175</xdr:rowOff>
    </xdr:from>
    <xdr:to>
      <xdr:col>4</xdr:col>
      <xdr:colOff>0</xdr:colOff>
      <xdr:row>31</xdr:row>
      <xdr:rowOff>257175</xdr:rowOff>
    </xdr:to>
    <xdr:sp>
      <xdr:nvSpPr>
        <xdr:cNvPr id="313" name="Line 313"/>
        <xdr:cNvSpPr>
          <a:spLocks/>
        </xdr:cNvSpPr>
      </xdr:nvSpPr>
      <xdr:spPr>
        <a:xfrm>
          <a:off x="4124325" y="942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333375</xdr:rowOff>
    </xdr:from>
    <xdr:to>
      <xdr:col>4</xdr:col>
      <xdr:colOff>0</xdr:colOff>
      <xdr:row>36</xdr:row>
      <xdr:rowOff>333375</xdr:rowOff>
    </xdr:to>
    <xdr:sp>
      <xdr:nvSpPr>
        <xdr:cNvPr id="314" name="Line 314"/>
        <xdr:cNvSpPr>
          <a:spLocks/>
        </xdr:cNvSpPr>
      </xdr:nvSpPr>
      <xdr:spPr>
        <a:xfrm>
          <a:off x="4124325" y="1107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333375</xdr:rowOff>
    </xdr:from>
    <xdr:to>
      <xdr:col>4</xdr:col>
      <xdr:colOff>0</xdr:colOff>
      <xdr:row>36</xdr:row>
      <xdr:rowOff>333375</xdr:rowOff>
    </xdr:to>
    <xdr:sp>
      <xdr:nvSpPr>
        <xdr:cNvPr id="315" name="Line 315"/>
        <xdr:cNvSpPr>
          <a:spLocks/>
        </xdr:cNvSpPr>
      </xdr:nvSpPr>
      <xdr:spPr>
        <a:xfrm>
          <a:off x="4124325" y="1107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161925</xdr:rowOff>
    </xdr:from>
    <xdr:to>
      <xdr:col>4</xdr:col>
      <xdr:colOff>0</xdr:colOff>
      <xdr:row>37</xdr:row>
      <xdr:rowOff>161925</xdr:rowOff>
    </xdr:to>
    <xdr:sp>
      <xdr:nvSpPr>
        <xdr:cNvPr id="316" name="Line 316"/>
        <xdr:cNvSpPr>
          <a:spLocks/>
        </xdr:cNvSpPr>
      </xdr:nvSpPr>
      <xdr:spPr>
        <a:xfrm>
          <a:off x="4124325" y="1151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266700</xdr:rowOff>
    </xdr:from>
    <xdr:to>
      <xdr:col>4</xdr:col>
      <xdr:colOff>0</xdr:colOff>
      <xdr:row>38</xdr:row>
      <xdr:rowOff>266700</xdr:rowOff>
    </xdr:to>
    <xdr:sp>
      <xdr:nvSpPr>
        <xdr:cNvPr id="317" name="Line 317"/>
        <xdr:cNvSpPr>
          <a:spLocks/>
        </xdr:cNvSpPr>
      </xdr:nvSpPr>
      <xdr:spPr>
        <a:xfrm>
          <a:off x="4124325" y="1178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266700</xdr:rowOff>
    </xdr:from>
    <xdr:to>
      <xdr:col>4</xdr:col>
      <xdr:colOff>0</xdr:colOff>
      <xdr:row>38</xdr:row>
      <xdr:rowOff>266700</xdr:rowOff>
    </xdr:to>
    <xdr:sp>
      <xdr:nvSpPr>
        <xdr:cNvPr id="318" name="Line 318"/>
        <xdr:cNvSpPr>
          <a:spLocks/>
        </xdr:cNvSpPr>
      </xdr:nvSpPr>
      <xdr:spPr>
        <a:xfrm>
          <a:off x="4124325" y="1178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333375</xdr:rowOff>
    </xdr:from>
    <xdr:to>
      <xdr:col>4</xdr:col>
      <xdr:colOff>0</xdr:colOff>
      <xdr:row>41</xdr:row>
      <xdr:rowOff>333375</xdr:rowOff>
    </xdr:to>
    <xdr:sp>
      <xdr:nvSpPr>
        <xdr:cNvPr id="319" name="Line 319"/>
        <xdr:cNvSpPr>
          <a:spLocks/>
        </xdr:cNvSpPr>
      </xdr:nvSpPr>
      <xdr:spPr>
        <a:xfrm>
          <a:off x="4124325" y="1310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333375</xdr:rowOff>
    </xdr:from>
    <xdr:to>
      <xdr:col>4</xdr:col>
      <xdr:colOff>0</xdr:colOff>
      <xdr:row>41</xdr:row>
      <xdr:rowOff>333375</xdr:rowOff>
    </xdr:to>
    <xdr:sp>
      <xdr:nvSpPr>
        <xdr:cNvPr id="320" name="Line 320"/>
        <xdr:cNvSpPr>
          <a:spLocks/>
        </xdr:cNvSpPr>
      </xdr:nvSpPr>
      <xdr:spPr>
        <a:xfrm>
          <a:off x="4124325" y="1310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>
      <xdr:nvSpPr>
        <xdr:cNvPr id="321" name="Line 321"/>
        <xdr:cNvSpPr>
          <a:spLocks/>
        </xdr:cNvSpPr>
      </xdr:nvSpPr>
      <xdr:spPr>
        <a:xfrm>
          <a:off x="4124325" y="1431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>
      <xdr:nvSpPr>
        <xdr:cNvPr id="322" name="Line 322"/>
        <xdr:cNvSpPr>
          <a:spLocks/>
        </xdr:cNvSpPr>
      </xdr:nvSpPr>
      <xdr:spPr>
        <a:xfrm>
          <a:off x="4124325" y="1431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161925</xdr:rowOff>
    </xdr:from>
    <xdr:to>
      <xdr:col>4</xdr:col>
      <xdr:colOff>0</xdr:colOff>
      <xdr:row>45</xdr:row>
      <xdr:rowOff>161925</xdr:rowOff>
    </xdr:to>
    <xdr:sp>
      <xdr:nvSpPr>
        <xdr:cNvPr id="323" name="Line 323"/>
        <xdr:cNvSpPr>
          <a:spLocks/>
        </xdr:cNvSpPr>
      </xdr:nvSpPr>
      <xdr:spPr>
        <a:xfrm>
          <a:off x="4124325" y="1447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161925</xdr:rowOff>
    </xdr:from>
    <xdr:to>
      <xdr:col>4</xdr:col>
      <xdr:colOff>0</xdr:colOff>
      <xdr:row>46</xdr:row>
      <xdr:rowOff>161925</xdr:rowOff>
    </xdr:to>
    <xdr:sp>
      <xdr:nvSpPr>
        <xdr:cNvPr id="324" name="Line 324"/>
        <xdr:cNvSpPr>
          <a:spLocks/>
        </xdr:cNvSpPr>
      </xdr:nvSpPr>
      <xdr:spPr>
        <a:xfrm>
          <a:off x="4124325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161925</xdr:rowOff>
    </xdr:from>
    <xdr:to>
      <xdr:col>4</xdr:col>
      <xdr:colOff>0</xdr:colOff>
      <xdr:row>46</xdr:row>
      <xdr:rowOff>161925</xdr:rowOff>
    </xdr:to>
    <xdr:sp>
      <xdr:nvSpPr>
        <xdr:cNvPr id="325" name="Line 325"/>
        <xdr:cNvSpPr>
          <a:spLocks/>
        </xdr:cNvSpPr>
      </xdr:nvSpPr>
      <xdr:spPr>
        <a:xfrm>
          <a:off x="4124325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161925</xdr:rowOff>
    </xdr:from>
    <xdr:to>
      <xdr:col>4</xdr:col>
      <xdr:colOff>0</xdr:colOff>
      <xdr:row>49</xdr:row>
      <xdr:rowOff>161925</xdr:rowOff>
    </xdr:to>
    <xdr:sp>
      <xdr:nvSpPr>
        <xdr:cNvPr id="326" name="Line 326"/>
        <xdr:cNvSpPr>
          <a:spLocks/>
        </xdr:cNvSpPr>
      </xdr:nvSpPr>
      <xdr:spPr>
        <a:xfrm>
          <a:off x="4124325" y="1557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161925</xdr:rowOff>
    </xdr:from>
    <xdr:to>
      <xdr:col>4</xdr:col>
      <xdr:colOff>0</xdr:colOff>
      <xdr:row>49</xdr:row>
      <xdr:rowOff>161925</xdr:rowOff>
    </xdr:to>
    <xdr:sp>
      <xdr:nvSpPr>
        <xdr:cNvPr id="327" name="Line 327"/>
        <xdr:cNvSpPr>
          <a:spLocks/>
        </xdr:cNvSpPr>
      </xdr:nvSpPr>
      <xdr:spPr>
        <a:xfrm>
          <a:off x="4124325" y="1557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4</xdr:col>
      <xdr:colOff>0</xdr:colOff>
      <xdr:row>59</xdr:row>
      <xdr:rowOff>0</xdr:rowOff>
    </xdr:to>
    <xdr:sp>
      <xdr:nvSpPr>
        <xdr:cNvPr id="328" name="Line 328"/>
        <xdr:cNvSpPr>
          <a:spLocks/>
        </xdr:cNvSpPr>
      </xdr:nvSpPr>
      <xdr:spPr>
        <a:xfrm>
          <a:off x="4124325" y="1897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4</xdr:col>
      <xdr:colOff>0</xdr:colOff>
      <xdr:row>59</xdr:row>
      <xdr:rowOff>0</xdr:rowOff>
    </xdr:to>
    <xdr:sp>
      <xdr:nvSpPr>
        <xdr:cNvPr id="329" name="Line 329"/>
        <xdr:cNvSpPr>
          <a:spLocks/>
        </xdr:cNvSpPr>
      </xdr:nvSpPr>
      <xdr:spPr>
        <a:xfrm>
          <a:off x="4124325" y="1897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323850</xdr:rowOff>
    </xdr:from>
    <xdr:to>
      <xdr:col>4</xdr:col>
      <xdr:colOff>0</xdr:colOff>
      <xdr:row>59</xdr:row>
      <xdr:rowOff>323850</xdr:rowOff>
    </xdr:to>
    <xdr:sp>
      <xdr:nvSpPr>
        <xdr:cNvPr id="330" name="Line 330"/>
        <xdr:cNvSpPr>
          <a:spLocks/>
        </xdr:cNvSpPr>
      </xdr:nvSpPr>
      <xdr:spPr>
        <a:xfrm>
          <a:off x="4124325" y="1929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331" name="Line 331"/>
        <xdr:cNvSpPr>
          <a:spLocks/>
        </xdr:cNvSpPr>
      </xdr:nvSpPr>
      <xdr:spPr>
        <a:xfrm>
          <a:off x="4124325" y="1929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332" name="Line 332"/>
        <xdr:cNvSpPr>
          <a:spLocks/>
        </xdr:cNvSpPr>
      </xdr:nvSpPr>
      <xdr:spPr>
        <a:xfrm>
          <a:off x="4124325" y="1929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161925</xdr:rowOff>
    </xdr:from>
    <xdr:to>
      <xdr:col>4</xdr:col>
      <xdr:colOff>0</xdr:colOff>
      <xdr:row>61</xdr:row>
      <xdr:rowOff>161925</xdr:rowOff>
    </xdr:to>
    <xdr:sp>
      <xdr:nvSpPr>
        <xdr:cNvPr id="333" name="Line 333"/>
        <xdr:cNvSpPr>
          <a:spLocks/>
        </xdr:cNvSpPr>
      </xdr:nvSpPr>
      <xdr:spPr>
        <a:xfrm>
          <a:off x="4124325" y="1978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161925</xdr:rowOff>
    </xdr:from>
    <xdr:to>
      <xdr:col>4</xdr:col>
      <xdr:colOff>0</xdr:colOff>
      <xdr:row>61</xdr:row>
      <xdr:rowOff>161925</xdr:rowOff>
    </xdr:to>
    <xdr:sp>
      <xdr:nvSpPr>
        <xdr:cNvPr id="334" name="Line 334"/>
        <xdr:cNvSpPr>
          <a:spLocks/>
        </xdr:cNvSpPr>
      </xdr:nvSpPr>
      <xdr:spPr>
        <a:xfrm>
          <a:off x="4124325" y="1978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335" name="Line 335"/>
        <xdr:cNvSpPr>
          <a:spLocks/>
        </xdr:cNvSpPr>
      </xdr:nvSpPr>
      <xdr:spPr>
        <a:xfrm>
          <a:off x="4124325" y="2039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336" name="Line 336"/>
        <xdr:cNvSpPr>
          <a:spLocks/>
        </xdr:cNvSpPr>
      </xdr:nvSpPr>
      <xdr:spPr>
        <a:xfrm>
          <a:off x="4124325" y="2039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142875</xdr:rowOff>
    </xdr:from>
    <xdr:to>
      <xdr:col>4</xdr:col>
      <xdr:colOff>0</xdr:colOff>
      <xdr:row>66</xdr:row>
      <xdr:rowOff>142875</xdr:rowOff>
    </xdr:to>
    <xdr:sp>
      <xdr:nvSpPr>
        <xdr:cNvPr id="337" name="Line 337"/>
        <xdr:cNvSpPr>
          <a:spLocks/>
        </xdr:cNvSpPr>
      </xdr:nvSpPr>
      <xdr:spPr>
        <a:xfrm>
          <a:off x="4124325" y="2225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266700</xdr:rowOff>
    </xdr:from>
    <xdr:to>
      <xdr:col>4</xdr:col>
      <xdr:colOff>0</xdr:colOff>
      <xdr:row>71</xdr:row>
      <xdr:rowOff>266700</xdr:rowOff>
    </xdr:to>
    <xdr:sp>
      <xdr:nvSpPr>
        <xdr:cNvPr id="338" name="Line 338"/>
        <xdr:cNvSpPr>
          <a:spLocks/>
        </xdr:cNvSpPr>
      </xdr:nvSpPr>
      <xdr:spPr>
        <a:xfrm>
          <a:off x="4124325" y="2450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266700</xdr:rowOff>
    </xdr:from>
    <xdr:to>
      <xdr:col>4</xdr:col>
      <xdr:colOff>0</xdr:colOff>
      <xdr:row>71</xdr:row>
      <xdr:rowOff>266700</xdr:rowOff>
    </xdr:to>
    <xdr:sp>
      <xdr:nvSpPr>
        <xdr:cNvPr id="339" name="Line 339"/>
        <xdr:cNvSpPr>
          <a:spLocks/>
        </xdr:cNvSpPr>
      </xdr:nvSpPr>
      <xdr:spPr>
        <a:xfrm>
          <a:off x="4124325" y="2450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133350</xdr:rowOff>
    </xdr:from>
    <xdr:to>
      <xdr:col>4</xdr:col>
      <xdr:colOff>0</xdr:colOff>
      <xdr:row>99</xdr:row>
      <xdr:rowOff>133350</xdr:rowOff>
    </xdr:to>
    <xdr:sp>
      <xdr:nvSpPr>
        <xdr:cNvPr id="340" name="Line 340"/>
        <xdr:cNvSpPr>
          <a:spLocks/>
        </xdr:cNvSpPr>
      </xdr:nvSpPr>
      <xdr:spPr>
        <a:xfrm>
          <a:off x="4124325" y="3168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142875</xdr:rowOff>
    </xdr:from>
    <xdr:to>
      <xdr:col>4</xdr:col>
      <xdr:colOff>0</xdr:colOff>
      <xdr:row>99</xdr:row>
      <xdr:rowOff>142875</xdr:rowOff>
    </xdr:to>
    <xdr:sp>
      <xdr:nvSpPr>
        <xdr:cNvPr id="341" name="Line 341"/>
        <xdr:cNvSpPr>
          <a:spLocks/>
        </xdr:cNvSpPr>
      </xdr:nvSpPr>
      <xdr:spPr>
        <a:xfrm>
          <a:off x="4124325" y="3168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101</xdr:row>
      <xdr:rowOff>133350</xdr:rowOff>
    </xdr:from>
    <xdr:to>
      <xdr:col>4</xdr:col>
      <xdr:colOff>0</xdr:colOff>
      <xdr:row>101</xdr:row>
      <xdr:rowOff>133350</xdr:rowOff>
    </xdr:to>
    <xdr:sp>
      <xdr:nvSpPr>
        <xdr:cNvPr id="342" name="Line 342"/>
        <xdr:cNvSpPr>
          <a:spLocks/>
        </xdr:cNvSpPr>
      </xdr:nvSpPr>
      <xdr:spPr>
        <a:xfrm>
          <a:off x="4124325" y="3293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101</xdr:row>
      <xdr:rowOff>142875</xdr:rowOff>
    </xdr:from>
    <xdr:to>
      <xdr:col>4</xdr:col>
      <xdr:colOff>0</xdr:colOff>
      <xdr:row>101</xdr:row>
      <xdr:rowOff>142875</xdr:rowOff>
    </xdr:to>
    <xdr:sp>
      <xdr:nvSpPr>
        <xdr:cNvPr id="343" name="Line 343"/>
        <xdr:cNvSpPr>
          <a:spLocks/>
        </xdr:cNvSpPr>
      </xdr:nvSpPr>
      <xdr:spPr>
        <a:xfrm>
          <a:off x="4124325" y="3294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344" name="Line 344"/>
        <xdr:cNvSpPr>
          <a:spLocks/>
        </xdr:cNvSpPr>
      </xdr:nvSpPr>
      <xdr:spPr>
        <a:xfrm>
          <a:off x="4124325" y="3108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345" name="Line 345"/>
        <xdr:cNvSpPr>
          <a:spLocks/>
        </xdr:cNvSpPr>
      </xdr:nvSpPr>
      <xdr:spPr>
        <a:xfrm>
          <a:off x="4124325" y="3108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346" name="Line 346"/>
        <xdr:cNvSpPr>
          <a:spLocks/>
        </xdr:cNvSpPr>
      </xdr:nvSpPr>
      <xdr:spPr>
        <a:xfrm>
          <a:off x="4124325" y="3108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347" name="Line 347"/>
        <xdr:cNvSpPr>
          <a:spLocks/>
        </xdr:cNvSpPr>
      </xdr:nvSpPr>
      <xdr:spPr>
        <a:xfrm>
          <a:off x="4124325" y="3108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133350</xdr:rowOff>
    </xdr:from>
    <xdr:to>
      <xdr:col>4</xdr:col>
      <xdr:colOff>0</xdr:colOff>
      <xdr:row>107</xdr:row>
      <xdr:rowOff>133350</xdr:rowOff>
    </xdr:to>
    <xdr:sp>
      <xdr:nvSpPr>
        <xdr:cNvPr id="348" name="Line 348"/>
        <xdr:cNvSpPr>
          <a:spLocks/>
        </xdr:cNvSpPr>
      </xdr:nvSpPr>
      <xdr:spPr>
        <a:xfrm>
          <a:off x="4124325" y="3420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142875</xdr:rowOff>
    </xdr:from>
    <xdr:to>
      <xdr:col>4</xdr:col>
      <xdr:colOff>0</xdr:colOff>
      <xdr:row>107</xdr:row>
      <xdr:rowOff>142875</xdr:rowOff>
    </xdr:to>
    <xdr:sp>
      <xdr:nvSpPr>
        <xdr:cNvPr id="349" name="Line 349"/>
        <xdr:cNvSpPr>
          <a:spLocks/>
        </xdr:cNvSpPr>
      </xdr:nvSpPr>
      <xdr:spPr>
        <a:xfrm>
          <a:off x="4124325" y="3421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200025</xdr:rowOff>
    </xdr:from>
    <xdr:to>
      <xdr:col>4</xdr:col>
      <xdr:colOff>0</xdr:colOff>
      <xdr:row>109</xdr:row>
      <xdr:rowOff>200025</xdr:rowOff>
    </xdr:to>
    <xdr:sp>
      <xdr:nvSpPr>
        <xdr:cNvPr id="350" name="Line 350"/>
        <xdr:cNvSpPr>
          <a:spLocks/>
        </xdr:cNvSpPr>
      </xdr:nvSpPr>
      <xdr:spPr>
        <a:xfrm>
          <a:off x="4124325" y="3476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219075</xdr:rowOff>
    </xdr:from>
    <xdr:to>
      <xdr:col>4</xdr:col>
      <xdr:colOff>0</xdr:colOff>
      <xdr:row>109</xdr:row>
      <xdr:rowOff>219075</xdr:rowOff>
    </xdr:to>
    <xdr:sp>
      <xdr:nvSpPr>
        <xdr:cNvPr id="351" name="Line 351"/>
        <xdr:cNvSpPr>
          <a:spLocks/>
        </xdr:cNvSpPr>
      </xdr:nvSpPr>
      <xdr:spPr>
        <a:xfrm>
          <a:off x="4124325" y="3478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219075</xdr:rowOff>
    </xdr:from>
    <xdr:to>
      <xdr:col>4</xdr:col>
      <xdr:colOff>0</xdr:colOff>
      <xdr:row>113</xdr:row>
      <xdr:rowOff>219075</xdr:rowOff>
    </xdr:to>
    <xdr:sp>
      <xdr:nvSpPr>
        <xdr:cNvPr id="352" name="Line 352"/>
        <xdr:cNvSpPr>
          <a:spLocks/>
        </xdr:cNvSpPr>
      </xdr:nvSpPr>
      <xdr:spPr>
        <a:xfrm>
          <a:off x="4124325" y="3589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333375</xdr:rowOff>
    </xdr:from>
    <xdr:to>
      <xdr:col>4</xdr:col>
      <xdr:colOff>0</xdr:colOff>
      <xdr:row>114</xdr:row>
      <xdr:rowOff>333375</xdr:rowOff>
    </xdr:to>
    <xdr:sp>
      <xdr:nvSpPr>
        <xdr:cNvPr id="353" name="Line 353"/>
        <xdr:cNvSpPr>
          <a:spLocks/>
        </xdr:cNvSpPr>
      </xdr:nvSpPr>
      <xdr:spPr>
        <a:xfrm>
          <a:off x="4124325" y="3665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151</xdr:row>
      <xdr:rowOff>142875</xdr:rowOff>
    </xdr:from>
    <xdr:to>
      <xdr:col>4</xdr:col>
      <xdr:colOff>0</xdr:colOff>
      <xdr:row>151</xdr:row>
      <xdr:rowOff>142875</xdr:rowOff>
    </xdr:to>
    <xdr:sp>
      <xdr:nvSpPr>
        <xdr:cNvPr id="354" name="Line 354"/>
        <xdr:cNvSpPr>
          <a:spLocks/>
        </xdr:cNvSpPr>
      </xdr:nvSpPr>
      <xdr:spPr>
        <a:xfrm>
          <a:off x="4124325" y="4849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153</xdr:row>
      <xdr:rowOff>0</xdr:rowOff>
    </xdr:from>
    <xdr:to>
      <xdr:col>4</xdr:col>
      <xdr:colOff>0</xdr:colOff>
      <xdr:row>153</xdr:row>
      <xdr:rowOff>0</xdr:rowOff>
    </xdr:to>
    <xdr:sp>
      <xdr:nvSpPr>
        <xdr:cNvPr id="355" name="Line 355"/>
        <xdr:cNvSpPr>
          <a:spLocks/>
        </xdr:cNvSpPr>
      </xdr:nvSpPr>
      <xdr:spPr>
        <a:xfrm>
          <a:off x="4124325" y="4883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153</xdr:row>
      <xdr:rowOff>0</xdr:rowOff>
    </xdr:from>
    <xdr:to>
      <xdr:col>4</xdr:col>
      <xdr:colOff>0</xdr:colOff>
      <xdr:row>153</xdr:row>
      <xdr:rowOff>0</xdr:rowOff>
    </xdr:to>
    <xdr:sp>
      <xdr:nvSpPr>
        <xdr:cNvPr id="356" name="Line 356"/>
        <xdr:cNvSpPr>
          <a:spLocks/>
        </xdr:cNvSpPr>
      </xdr:nvSpPr>
      <xdr:spPr>
        <a:xfrm>
          <a:off x="4124325" y="4883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164</xdr:row>
      <xdr:rowOff>0</xdr:rowOff>
    </xdr:from>
    <xdr:to>
      <xdr:col>4</xdr:col>
      <xdr:colOff>0</xdr:colOff>
      <xdr:row>164</xdr:row>
      <xdr:rowOff>0</xdr:rowOff>
    </xdr:to>
    <xdr:sp>
      <xdr:nvSpPr>
        <xdr:cNvPr id="357" name="Line 357"/>
        <xdr:cNvSpPr>
          <a:spLocks/>
        </xdr:cNvSpPr>
      </xdr:nvSpPr>
      <xdr:spPr>
        <a:xfrm>
          <a:off x="4124325" y="515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164</xdr:row>
      <xdr:rowOff>0</xdr:rowOff>
    </xdr:from>
    <xdr:to>
      <xdr:col>4</xdr:col>
      <xdr:colOff>0</xdr:colOff>
      <xdr:row>164</xdr:row>
      <xdr:rowOff>0</xdr:rowOff>
    </xdr:to>
    <xdr:sp>
      <xdr:nvSpPr>
        <xdr:cNvPr id="358" name="Line 358"/>
        <xdr:cNvSpPr>
          <a:spLocks/>
        </xdr:cNvSpPr>
      </xdr:nvSpPr>
      <xdr:spPr>
        <a:xfrm>
          <a:off x="4124325" y="515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164</xdr:row>
      <xdr:rowOff>0</xdr:rowOff>
    </xdr:from>
    <xdr:to>
      <xdr:col>4</xdr:col>
      <xdr:colOff>0</xdr:colOff>
      <xdr:row>164</xdr:row>
      <xdr:rowOff>0</xdr:rowOff>
    </xdr:to>
    <xdr:sp>
      <xdr:nvSpPr>
        <xdr:cNvPr id="359" name="Line 359"/>
        <xdr:cNvSpPr>
          <a:spLocks/>
        </xdr:cNvSpPr>
      </xdr:nvSpPr>
      <xdr:spPr>
        <a:xfrm>
          <a:off x="4124325" y="515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164</xdr:row>
      <xdr:rowOff>0</xdr:rowOff>
    </xdr:from>
    <xdr:to>
      <xdr:col>4</xdr:col>
      <xdr:colOff>0</xdr:colOff>
      <xdr:row>164</xdr:row>
      <xdr:rowOff>0</xdr:rowOff>
    </xdr:to>
    <xdr:sp>
      <xdr:nvSpPr>
        <xdr:cNvPr id="360" name="Line 360"/>
        <xdr:cNvSpPr>
          <a:spLocks/>
        </xdr:cNvSpPr>
      </xdr:nvSpPr>
      <xdr:spPr>
        <a:xfrm>
          <a:off x="4124325" y="515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164</xdr:row>
      <xdr:rowOff>0</xdr:rowOff>
    </xdr:from>
    <xdr:to>
      <xdr:col>4</xdr:col>
      <xdr:colOff>0</xdr:colOff>
      <xdr:row>164</xdr:row>
      <xdr:rowOff>0</xdr:rowOff>
    </xdr:to>
    <xdr:sp>
      <xdr:nvSpPr>
        <xdr:cNvPr id="361" name="Line 361"/>
        <xdr:cNvSpPr>
          <a:spLocks/>
        </xdr:cNvSpPr>
      </xdr:nvSpPr>
      <xdr:spPr>
        <a:xfrm>
          <a:off x="4124325" y="515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152</xdr:row>
      <xdr:rowOff>0</xdr:rowOff>
    </xdr:from>
    <xdr:to>
      <xdr:col>4</xdr:col>
      <xdr:colOff>0</xdr:colOff>
      <xdr:row>152</xdr:row>
      <xdr:rowOff>0</xdr:rowOff>
    </xdr:to>
    <xdr:sp>
      <xdr:nvSpPr>
        <xdr:cNvPr id="362" name="Line 362"/>
        <xdr:cNvSpPr>
          <a:spLocks/>
        </xdr:cNvSpPr>
      </xdr:nvSpPr>
      <xdr:spPr>
        <a:xfrm>
          <a:off x="4124325" y="4867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153</xdr:row>
      <xdr:rowOff>0</xdr:rowOff>
    </xdr:from>
    <xdr:to>
      <xdr:col>4</xdr:col>
      <xdr:colOff>0</xdr:colOff>
      <xdr:row>153</xdr:row>
      <xdr:rowOff>0</xdr:rowOff>
    </xdr:to>
    <xdr:sp>
      <xdr:nvSpPr>
        <xdr:cNvPr id="363" name="Line 363"/>
        <xdr:cNvSpPr>
          <a:spLocks/>
        </xdr:cNvSpPr>
      </xdr:nvSpPr>
      <xdr:spPr>
        <a:xfrm>
          <a:off x="4124325" y="4883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153</xdr:row>
      <xdr:rowOff>0</xdr:rowOff>
    </xdr:from>
    <xdr:to>
      <xdr:col>4</xdr:col>
      <xdr:colOff>0</xdr:colOff>
      <xdr:row>153</xdr:row>
      <xdr:rowOff>0</xdr:rowOff>
    </xdr:to>
    <xdr:sp>
      <xdr:nvSpPr>
        <xdr:cNvPr id="364" name="Line 364"/>
        <xdr:cNvSpPr>
          <a:spLocks/>
        </xdr:cNvSpPr>
      </xdr:nvSpPr>
      <xdr:spPr>
        <a:xfrm>
          <a:off x="4124325" y="4883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164</xdr:row>
      <xdr:rowOff>0</xdr:rowOff>
    </xdr:from>
    <xdr:to>
      <xdr:col>4</xdr:col>
      <xdr:colOff>0</xdr:colOff>
      <xdr:row>164</xdr:row>
      <xdr:rowOff>0</xdr:rowOff>
    </xdr:to>
    <xdr:sp>
      <xdr:nvSpPr>
        <xdr:cNvPr id="365" name="Line 365"/>
        <xdr:cNvSpPr>
          <a:spLocks/>
        </xdr:cNvSpPr>
      </xdr:nvSpPr>
      <xdr:spPr>
        <a:xfrm>
          <a:off x="4124325" y="515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164</xdr:row>
      <xdr:rowOff>0</xdr:rowOff>
    </xdr:from>
    <xdr:to>
      <xdr:col>4</xdr:col>
      <xdr:colOff>0</xdr:colOff>
      <xdr:row>164</xdr:row>
      <xdr:rowOff>0</xdr:rowOff>
    </xdr:to>
    <xdr:sp>
      <xdr:nvSpPr>
        <xdr:cNvPr id="366" name="Line 366"/>
        <xdr:cNvSpPr>
          <a:spLocks/>
        </xdr:cNvSpPr>
      </xdr:nvSpPr>
      <xdr:spPr>
        <a:xfrm>
          <a:off x="4124325" y="515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164</xdr:row>
      <xdr:rowOff>0</xdr:rowOff>
    </xdr:from>
    <xdr:to>
      <xdr:col>4</xdr:col>
      <xdr:colOff>0</xdr:colOff>
      <xdr:row>164</xdr:row>
      <xdr:rowOff>0</xdr:rowOff>
    </xdr:to>
    <xdr:sp>
      <xdr:nvSpPr>
        <xdr:cNvPr id="367" name="Line 367"/>
        <xdr:cNvSpPr>
          <a:spLocks/>
        </xdr:cNvSpPr>
      </xdr:nvSpPr>
      <xdr:spPr>
        <a:xfrm>
          <a:off x="4124325" y="515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164</xdr:row>
      <xdr:rowOff>0</xdr:rowOff>
    </xdr:from>
    <xdr:to>
      <xdr:col>4</xdr:col>
      <xdr:colOff>0</xdr:colOff>
      <xdr:row>164</xdr:row>
      <xdr:rowOff>0</xdr:rowOff>
    </xdr:to>
    <xdr:sp>
      <xdr:nvSpPr>
        <xdr:cNvPr id="368" name="Line 368"/>
        <xdr:cNvSpPr>
          <a:spLocks/>
        </xdr:cNvSpPr>
      </xdr:nvSpPr>
      <xdr:spPr>
        <a:xfrm>
          <a:off x="4124325" y="515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171</xdr:row>
      <xdr:rowOff>104775</xdr:rowOff>
    </xdr:from>
    <xdr:to>
      <xdr:col>1</xdr:col>
      <xdr:colOff>466725</xdr:colOff>
      <xdr:row>171</xdr:row>
      <xdr:rowOff>104775</xdr:rowOff>
    </xdr:to>
    <xdr:sp>
      <xdr:nvSpPr>
        <xdr:cNvPr id="369" name="Line 369"/>
        <xdr:cNvSpPr>
          <a:spLocks/>
        </xdr:cNvSpPr>
      </xdr:nvSpPr>
      <xdr:spPr>
        <a:xfrm>
          <a:off x="695325" y="53063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4</xdr:col>
      <xdr:colOff>0</xdr:colOff>
      <xdr:row>59</xdr:row>
      <xdr:rowOff>0</xdr:rowOff>
    </xdr:to>
    <xdr:sp>
      <xdr:nvSpPr>
        <xdr:cNvPr id="370" name="Line 370"/>
        <xdr:cNvSpPr>
          <a:spLocks/>
        </xdr:cNvSpPr>
      </xdr:nvSpPr>
      <xdr:spPr>
        <a:xfrm>
          <a:off x="4124325" y="1897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4</xdr:col>
      <xdr:colOff>0</xdr:colOff>
      <xdr:row>59</xdr:row>
      <xdr:rowOff>0</xdr:rowOff>
    </xdr:to>
    <xdr:sp>
      <xdr:nvSpPr>
        <xdr:cNvPr id="371" name="Line 371"/>
        <xdr:cNvSpPr>
          <a:spLocks/>
        </xdr:cNvSpPr>
      </xdr:nvSpPr>
      <xdr:spPr>
        <a:xfrm>
          <a:off x="4124325" y="1897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372" name="Line 372"/>
        <xdr:cNvSpPr>
          <a:spLocks/>
        </xdr:cNvSpPr>
      </xdr:nvSpPr>
      <xdr:spPr>
        <a:xfrm>
          <a:off x="4124325" y="475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161</xdr:row>
      <xdr:rowOff>152400</xdr:rowOff>
    </xdr:from>
    <xdr:to>
      <xdr:col>4</xdr:col>
      <xdr:colOff>0</xdr:colOff>
      <xdr:row>161</xdr:row>
      <xdr:rowOff>152400</xdr:rowOff>
    </xdr:to>
    <xdr:sp>
      <xdr:nvSpPr>
        <xdr:cNvPr id="373" name="Line 373"/>
        <xdr:cNvSpPr>
          <a:spLocks/>
        </xdr:cNvSpPr>
      </xdr:nvSpPr>
      <xdr:spPr>
        <a:xfrm>
          <a:off x="4124325" y="5103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161</xdr:row>
      <xdr:rowOff>152400</xdr:rowOff>
    </xdr:from>
    <xdr:to>
      <xdr:col>4</xdr:col>
      <xdr:colOff>0</xdr:colOff>
      <xdr:row>161</xdr:row>
      <xdr:rowOff>152400</xdr:rowOff>
    </xdr:to>
    <xdr:sp>
      <xdr:nvSpPr>
        <xdr:cNvPr id="374" name="Line 374"/>
        <xdr:cNvSpPr>
          <a:spLocks/>
        </xdr:cNvSpPr>
      </xdr:nvSpPr>
      <xdr:spPr>
        <a:xfrm>
          <a:off x="4124325" y="5103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162</xdr:row>
      <xdr:rowOff>0</xdr:rowOff>
    </xdr:from>
    <xdr:to>
      <xdr:col>4</xdr:col>
      <xdr:colOff>0</xdr:colOff>
      <xdr:row>162</xdr:row>
      <xdr:rowOff>0</xdr:rowOff>
    </xdr:to>
    <xdr:sp>
      <xdr:nvSpPr>
        <xdr:cNvPr id="375" name="Line 375"/>
        <xdr:cNvSpPr>
          <a:spLocks/>
        </xdr:cNvSpPr>
      </xdr:nvSpPr>
      <xdr:spPr>
        <a:xfrm>
          <a:off x="4124325" y="5104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162</xdr:row>
      <xdr:rowOff>0</xdr:rowOff>
    </xdr:from>
    <xdr:to>
      <xdr:col>4</xdr:col>
      <xdr:colOff>0</xdr:colOff>
      <xdr:row>162</xdr:row>
      <xdr:rowOff>0</xdr:rowOff>
    </xdr:to>
    <xdr:sp>
      <xdr:nvSpPr>
        <xdr:cNvPr id="376" name="Line 376"/>
        <xdr:cNvSpPr>
          <a:spLocks/>
        </xdr:cNvSpPr>
      </xdr:nvSpPr>
      <xdr:spPr>
        <a:xfrm>
          <a:off x="4124325" y="5104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161</xdr:row>
      <xdr:rowOff>123825</xdr:rowOff>
    </xdr:from>
    <xdr:to>
      <xdr:col>4</xdr:col>
      <xdr:colOff>0</xdr:colOff>
      <xdr:row>161</xdr:row>
      <xdr:rowOff>123825</xdr:rowOff>
    </xdr:to>
    <xdr:sp>
      <xdr:nvSpPr>
        <xdr:cNvPr id="377" name="Line 377"/>
        <xdr:cNvSpPr>
          <a:spLocks/>
        </xdr:cNvSpPr>
      </xdr:nvSpPr>
      <xdr:spPr>
        <a:xfrm>
          <a:off x="4124325" y="5100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161</xdr:row>
      <xdr:rowOff>123825</xdr:rowOff>
    </xdr:from>
    <xdr:to>
      <xdr:col>4</xdr:col>
      <xdr:colOff>0</xdr:colOff>
      <xdr:row>161</xdr:row>
      <xdr:rowOff>123825</xdr:rowOff>
    </xdr:to>
    <xdr:sp>
      <xdr:nvSpPr>
        <xdr:cNvPr id="378" name="Line 378"/>
        <xdr:cNvSpPr>
          <a:spLocks/>
        </xdr:cNvSpPr>
      </xdr:nvSpPr>
      <xdr:spPr>
        <a:xfrm>
          <a:off x="4124325" y="5100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162</xdr:row>
      <xdr:rowOff>0</xdr:rowOff>
    </xdr:from>
    <xdr:to>
      <xdr:col>4</xdr:col>
      <xdr:colOff>0</xdr:colOff>
      <xdr:row>162</xdr:row>
      <xdr:rowOff>0</xdr:rowOff>
    </xdr:to>
    <xdr:sp>
      <xdr:nvSpPr>
        <xdr:cNvPr id="379" name="Line 379"/>
        <xdr:cNvSpPr>
          <a:spLocks/>
        </xdr:cNvSpPr>
      </xdr:nvSpPr>
      <xdr:spPr>
        <a:xfrm>
          <a:off x="4124325" y="5104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162</xdr:row>
      <xdr:rowOff>0</xdr:rowOff>
    </xdr:from>
    <xdr:to>
      <xdr:col>4</xdr:col>
      <xdr:colOff>0</xdr:colOff>
      <xdr:row>162</xdr:row>
      <xdr:rowOff>0</xdr:rowOff>
    </xdr:to>
    <xdr:sp>
      <xdr:nvSpPr>
        <xdr:cNvPr id="380" name="Line 380"/>
        <xdr:cNvSpPr>
          <a:spLocks/>
        </xdr:cNvSpPr>
      </xdr:nvSpPr>
      <xdr:spPr>
        <a:xfrm>
          <a:off x="4124325" y="5104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173</xdr:row>
      <xdr:rowOff>0</xdr:rowOff>
    </xdr:from>
    <xdr:to>
      <xdr:col>1</xdr:col>
      <xdr:colOff>466725</xdr:colOff>
      <xdr:row>173</xdr:row>
      <xdr:rowOff>0</xdr:rowOff>
    </xdr:to>
    <xdr:sp>
      <xdr:nvSpPr>
        <xdr:cNvPr id="381" name="Line 381"/>
        <xdr:cNvSpPr>
          <a:spLocks/>
        </xdr:cNvSpPr>
      </xdr:nvSpPr>
      <xdr:spPr>
        <a:xfrm>
          <a:off x="695325" y="532828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82" name="Line 382"/>
        <xdr:cNvSpPr>
          <a:spLocks/>
        </xdr:cNvSpPr>
      </xdr:nvSpPr>
      <xdr:spPr>
        <a:xfrm>
          <a:off x="4124325" y="382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83" name="Line 383"/>
        <xdr:cNvSpPr>
          <a:spLocks/>
        </xdr:cNvSpPr>
      </xdr:nvSpPr>
      <xdr:spPr>
        <a:xfrm>
          <a:off x="4124325" y="382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333375</xdr:rowOff>
    </xdr:from>
    <xdr:to>
      <xdr:col>4</xdr:col>
      <xdr:colOff>0</xdr:colOff>
      <xdr:row>44</xdr:row>
      <xdr:rowOff>333375</xdr:rowOff>
    </xdr:to>
    <xdr:sp>
      <xdr:nvSpPr>
        <xdr:cNvPr id="384" name="Line 384"/>
        <xdr:cNvSpPr>
          <a:spLocks/>
        </xdr:cNvSpPr>
      </xdr:nvSpPr>
      <xdr:spPr>
        <a:xfrm>
          <a:off x="4124325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333375</xdr:rowOff>
    </xdr:from>
    <xdr:to>
      <xdr:col>4</xdr:col>
      <xdr:colOff>0</xdr:colOff>
      <xdr:row>44</xdr:row>
      <xdr:rowOff>333375</xdr:rowOff>
    </xdr:to>
    <xdr:sp>
      <xdr:nvSpPr>
        <xdr:cNvPr id="385" name="Line 385"/>
        <xdr:cNvSpPr>
          <a:spLocks/>
        </xdr:cNvSpPr>
      </xdr:nvSpPr>
      <xdr:spPr>
        <a:xfrm>
          <a:off x="4124325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144</xdr:row>
      <xdr:rowOff>0</xdr:rowOff>
    </xdr:from>
    <xdr:to>
      <xdr:col>4</xdr:col>
      <xdr:colOff>0</xdr:colOff>
      <xdr:row>144</xdr:row>
      <xdr:rowOff>0</xdr:rowOff>
    </xdr:to>
    <xdr:sp>
      <xdr:nvSpPr>
        <xdr:cNvPr id="386" name="Line 386"/>
        <xdr:cNvSpPr>
          <a:spLocks/>
        </xdr:cNvSpPr>
      </xdr:nvSpPr>
      <xdr:spPr>
        <a:xfrm>
          <a:off x="4124325" y="4631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123825</xdr:rowOff>
    </xdr:from>
    <xdr:to>
      <xdr:col>4</xdr:col>
      <xdr:colOff>0</xdr:colOff>
      <xdr:row>123</xdr:row>
      <xdr:rowOff>123825</xdr:rowOff>
    </xdr:to>
    <xdr:sp>
      <xdr:nvSpPr>
        <xdr:cNvPr id="387" name="Line 387"/>
        <xdr:cNvSpPr>
          <a:spLocks/>
        </xdr:cNvSpPr>
      </xdr:nvSpPr>
      <xdr:spPr>
        <a:xfrm>
          <a:off x="4124325" y="3954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sp>
      <xdr:nvSpPr>
        <xdr:cNvPr id="388" name="Line 388"/>
        <xdr:cNvSpPr>
          <a:spLocks/>
        </xdr:cNvSpPr>
      </xdr:nvSpPr>
      <xdr:spPr>
        <a:xfrm>
          <a:off x="4124325" y="2210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sp>
      <xdr:nvSpPr>
        <xdr:cNvPr id="389" name="Line 389"/>
        <xdr:cNvSpPr>
          <a:spLocks/>
        </xdr:cNvSpPr>
      </xdr:nvSpPr>
      <xdr:spPr>
        <a:xfrm>
          <a:off x="4124325" y="2210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sp>
      <xdr:nvSpPr>
        <xdr:cNvPr id="390" name="Line 390"/>
        <xdr:cNvSpPr>
          <a:spLocks/>
        </xdr:cNvSpPr>
      </xdr:nvSpPr>
      <xdr:spPr>
        <a:xfrm>
          <a:off x="4124325" y="2210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sp>
      <xdr:nvSpPr>
        <xdr:cNvPr id="391" name="Line 391"/>
        <xdr:cNvSpPr>
          <a:spLocks/>
        </xdr:cNvSpPr>
      </xdr:nvSpPr>
      <xdr:spPr>
        <a:xfrm>
          <a:off x="4124325" y="2210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333375</xdr:rowOff>
    </xdr:from>
    <xdr:to>
      <xdr:col>4</xdr:col>
      <xdr:colOff>0</xdr:colOff>
      <xdr:row>58</xdr:row>
      <xdr:rowOff>333375</xdr:rowOff>
    </xdr:to>
    <xdr:sp>
      <xdr:nvSpPr>
        <xdr:cNvPr id="392" name="Line 392"/>
        <xdr:cNvSpPr>
          <a:spLocks/>
        </xdr:cNvSpPr>
      </xdr:nvSpPr>
      <xdr:spPr>
        <a:xfrm>
          <a:off x="4124325" y="186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333375</xdr:rowOff>
    </xdr:from>
    <xdr:to>
      <xdr:col>4</xdr:col>
      <xdr:colOff>0</xdr:colOff>
      <xdr:row>58</xdr:row>
      <xdr:rowOff>333375</xdr:rowOff>
    </xdr:to>
    <xdr:sp>
      <xdr:nvSpPr>
        <xdr:cNvPr id="393" name="Line 393"/>
        <xdr:cNvSpPr>
          <a:spLocks/>
        </xdr:cNvSpPr>
      </xdr:nvSpPr>
      <xdr:spPr>
        <a:xfrm>
          <a:off x="4124325" y="186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133350</xdr:rowOff>
    </xdr:from>
    <xdr:to>
      <xdr:col>4</xdr:col>
      <xdr:colOff>0</xdr:colOff>
      <xdr:row>100</xdr:row>
      <xdr:rowOff>133350</xdr:rowOff>
    </xdr:to>
    <xdr:sp>
      <xdr:nvSpPr>
        <xdr:cNvPr id="394" name="Line 394"/>
        <xdr:cNvSpPr>
          <a:spLocks/>
        </xdr:cNvSpPr>
      </xdr:nvSpPr>
      <xdr:spPr>
        <a:xfrm>
          <a:off x="4124325" y="3216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142875</xdr:rowOff>
    </xdr:from>
    <xdr:to>
      <xdr:col>4</xdr:col>
      <xdr:colOff>0</xdr:colOff>
      <xdr:row>100</xdr:row>
      <xdr:rowOff>142875</xdr:rowOff>
    </xdr:to>
    <xdr:sp>
      <xdr:nvSpPr>
        <xdr:cNvPr id="395" name="Line 395"/>
        <xdr:cNvSpPr>
          <a:spLocks/>
        </xdr:cNvSpPr>
      </xdr:nvSpPr>
      <xdr:spPr>
        <a:xfrm>
          <a:off x="4124325" y="3217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174</xdr:row>
      <xdr:rowOff>114300</xdr:rowOff>
    </xdr:from>
    <xdr:to>
      <xdr:col>1</xdr:col>
      <xdr:colOff>457200</xdr:colOff>
      <xdr:row>174</xdr:row>
      <xdr:rowOff>114300</xdr:rowOff>
    </xdr:to>
    <xdr:sp>
      <xdr:nvSpPr>
        <xdr:cNvPr id="396" name="Line 396"/>
        <xdr:cNvSpPr>
          <a:spLocks/>
        </xdr:cNvSpPr>
      </xdr:nvSpPr>
      <xdr:spPr>
        <a:xfrm>
          <a:off x="685800" y="53559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97" name="Line 397"/>
        <xdr:cNvSpPr>
          <a:spLocks/>
        </xdr:cNvSpPr>
      </xdr:nvSpPr>
      <xdr:spPr>
        <a:xfrm>
          <a:off x="4124325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98" name="Line 398"/>
        <xdr:cNvSpPr>
          <a:spLocks/>
        </xdr:cNvSpPr>
      </xdr:nvSpPr>
      <xdr:spPr>
        <a:xfrm>
          <a:off x="4124325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99" name="Line 399"/>
        <xdr:cNvSpPr>
          <a:spLocks/>
        </xdr:cNvSpPr>
      </xdr:nvSpPr>
      <xdr:spPr>
        <a:xfrm>
          <a:off x="4124325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00" name="Line 400"/>
        <xdr:cNvSpPr>
          <a:spLocks/>
        </xdr:cNvSpPr>
      </xdr:nvSpPr>
      <xdr:spPr>
        <a:xfrm>
          <a:off x="4124325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401" name="Line 401"/>
        <xdr:cNvSpPr>
          <a:spLocks/>
        </xdr:cNvSpPr>
      </xdr:nvSpPr>
      <xdr:spPr>
        <a:xfrm>
          <a:off x="41243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402" name="Line 402"/>
        <xdr:cNvSpPr>
          <a:spLocks/>
        </xdr:cNvSpPr>
      </xdr:nvSpPr>
      <xdr:spPr>
        <a:xfrm>
          <a:off x="41243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403" name="Line 403"/>
        <xdr:cNvSpPr>
          <a:spLocks/>
        </xdr:cNvSpPr>
      </xdr:nvSpPr>
      <xdr:spPr>
        <a:xfrm>
          <a:off x="41243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404" name="Line 404"/>
        <xdr:cNvSpPr>
          <a:spLocks/>
        </xdr:cNvSpPr>
      </xdr:nvSpPr>
      <xdr:spPr>
        <a:xfrm>
          <a:off x="41243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405" name="Line 405"/>
        <xdr:cNvSpPr>
          <a:spLocks/>
        </xdr:cNvSpPr>
      </xdr:nvSpPr>
      <xdr:spPr>
        <a:xfrm>
          <a:off x="41243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406" name="Line 406"/>
        <xdr:cNvSpPr>
          <a:spLocks/>
        </xdr:cNvSpPr>
      </xdr:nvSpPr>
      <xdr:spPr>
        <a:xfrm>
          <a:off x="41243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407" name="Line 407"/>
        <xdr:cNvSpPr>
          <a:spLocks/>
        </xdr:cNvSpPr>
      </xdr:nvSpPr>
      <xdr:spPr>
        <a:xfrm>
          <a:off x="4124325" y="3567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408" name="Line 408"/>
        <xdr:cNvSpPr>
          <a:spLocks/>
        </xdr:cNvSpPr>
      </xdr:nvSpPr>
      <xdr:spPr>
        <a:xfrm>
          <a:off x="4124325" y="3567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409" name="Line 409"/>
        <xdr:cNvSpPr>
          <a:spLocks/>
        </xdr:cNvSpPr>
      </xdr:nvSpPr>
      <xdr:spPr>
        <a:xfrm>
          <a:off x="4124325" y="3567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410" name="Line 410"/>
        <xdr:cNvSpPr>
          <a:spLocks/>
        </xdr:cNvSpPr>
      </xdr:nvSpPr>
      <xdr:spPr>
        <a:xfrm>
          <a:off x="4124325" y="3567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162</xdr:row>
      <xdr:rowOff>0</xdr:rowOff>
    </xdr:from>
    <xdr:to>
      <xdr:col>4</xdr:col>
      <xdr:colOff>0</xdr:colOff>
      <xdr:row>162</xdr:row>
      <xdr:rowOff>0</xdr:rowOff>
    </xdr:to>
    <xdr:sp>
      <xdr:nvSpPr>
        <xdr:cNvPr id="411" name="Line 411"/>
        <xdr:cNvSpPr>
          <a:spLocks/>
        </xdr:cNvSpPr>
      </xdr:nvSpPr>
      <xdr:spPr>
        <a:xfrm>
          <a:off x="4124325" y="5104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162</xdr:row>
      <xdr:rowOff>0</xdr:rowOff>
    </xdr:from>
    <xdr:to>
      <xdr:col>4</xdr:col>
      <xdr:colOff>0</xdr:colOff>
      <xdr:row>162</xdr:row>
      <xdr:rowOff>0</xdr:rowOff>
    </xdr:to>
    <xdr:sp>
      <xdr:nvSpPr>
        <xdr:cNvPr id="412" name="Line 412"/>
        <xdr:cNvSpPr>
          <a:spLocks/>
        </xdr:cNvSpPr>
      </xdr:nvSpPr>
      <xdr:spPr>
        <a:xfrm>
          <a:off x="4124325" y="5104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162</xdr:row>
      <xdr:rowOff>0</xdr:rowOff>
    </xdr:from>
    <xdr:to>
      <xdr:col>4</xdr:col>
      <xdr:colOff>0</xdr:colOff>
      <xdr:row>162</xdr:row>
      <xdr:rowOff>0</xdr:rowOff>
    </xdr:to>
    <xdr:sp>
      <xdr:nvSpPr>
        <xdr:cNvPr id="413" name="Line 413"/>
        <xdr:cNvSpPr>
          <a:spLocks/>
        </xdr:cNvSpPr>
      </xdr:nvSpPr>
      <xdr:spPr>
        <a:xfrm>
          <a:off x="4124325" y="5104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162</xdr:row>
      <xdr:rowOff>0</xdr:rowOff>
    </xdr:from>
    <xdr:to>
      <xdr:col>4</xdr:col>
      <xdr:colOff>0</xdr:colOff>
      <xdr:row>162</xdr:row>
      <xdr:rowOff>0</xdr:rowOff>
    </xdr:to>
    <xdr:sp>
      <xdr:nvSpPr>
        <xdr:cNvPr id="414" name="Line 414"/>
        <xdr:cNvSpPr>
          <a:spLocks/>
        </xdr:cNvSpPr>
      </xdr:nvSpPr>
      <xdr:spPr>
        <a:xfrm>
          <a:off x="4124325" y="5104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162</xdr:row>
      <xdr:rowOff>228600</xdr:rowOff>
    </xdr:from>
    <xdr:to>
      <xdr:col>4</xdr:col>
      <xdr:colOff>0</xdr:colOff>
      <xdr:row>162</xdr:row>
      <xdr:rowOff>228600</xdr:rowOff>
    </xdr:to>
    <xdr:sp>
      <xdr:nvSpPr>
        <xdr:cNvPr id="415" name="Line 415"/>
        <xdr:cNvSpPr>
          <a:spLocks/>
        </xdr:cNvSpPr>
      </xdr:nvSpPr>
      <xdr:spPr>
        <a:xfrm>
          <a:off x="4124325" y="5127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162</xdr:row>
      <xdr:rowOff>228600</xdr:rowOff>
    </xdr:from>
    <xdr:to>
      <xdr:col>4</xdr:col>
      <xdr:colOff>0</xdr:colOff>
      <xdr:row>162</xdr:row>
      <xdr:rowOff>228600</xdr:rowOff>
    </xdr:to>
    <xdr:sp>
      <xdr:nvSpPr>
        <xdr:cNvPr id="416" name="Line 416"/>
        <xdr:cNvSpPr>
          <a:spLocks/>
        </xdr:cNvSpPr>
      </xdr:nvSpPr>
      <xdr:spPr>
        <a:xfrm>
          <a:off x="4124325" y="5127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162</xdr:row>
      <xdr:rowOff>190500</xdr:rowOff>
    </xdr:from>
    <xdr:to>
      <xdr:col>4</xdr:col>
      <xdr:colOff>0</xdr:colOff>
      <xdr:row>162</xdr:row>
      <xdr:rowOff>190500</xdr:rowOff>
    </xdr:to>
    <xdr:sp>
      <xdr:nvSpPr>
        <xdr:cNvPr id="417" name="Line 417"/>
        <xdr:cNvSpPr>
          <a:spLocks/>
        </xdr:cNvSpPr>
      </xdr:nvSpPr>
      <xdr:spPr>
        <a:xfrm>
          <a:off x="4124325" y="5123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162</xdr:row>
      <xdr:rowOff>190500</xdr:rowOff>
    </xdr:from>
    <xdr:to>
      <xdr:col>4</xdr:col>
      <xdr:colOff>0</xdr:colOff>
      <xdr:row>162</xdr:row>
      <xdr:rowOff>190500</xdr:rowOff>
    </xdr:to>
    <xdr:sp>
      <xdr:nvSpPr>
        <xdr:cNvPr id="418" name="Line 418"/>
        <xdr:cNvSpPr>
          <a:spLocks/>
        </xdr:cNvSpPr>
      </xdr:nvSpPr>
      <xdr:spPr>
        <a:xfrm>
          <a:off x="4124325" y="5123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157</xdr:row>
      <xdr:rowOff>190500</xdr:rowOff>
    </xdr:from>
    <xdr:to>
      <xdr:col>4</xdr:col>
      <xdr:colOff>0</xdr:colOff>
      <xdr:row>157</xdr:row>
      <xdr:rowOff>190500</xdr:rowOff>
    </xdr:to>
    <xdr:sp>
      <xdr:nvSpPr>
        <xdr:cNvPr id="419" name="Line 419"/>
        <xdr:cNvSpPr>
          <a:spLocks/>
        </xdr:cNvSpPr>
      </xdr:nvSpPr>
      <xdr:spPr>
        <a:xfrm>
          <a:off x="4124325" y="5002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157</xdr:row>
      <xdr:rowOff>190500</xdr:rowOff>
    </xdr:from>
    <xdr:to>
      <xdr:col>4</xdr:col>
      <xdr:colOff>0</xdr:colOff>
      <xdr:row>157</xdr:row>
      <xdr:rowOff>190500</xdr:rowOff>
    </xdr:to>
    <xdr:sp>
      <xdr:nvSpPr>
        <xdr:cNvPr id="420" name="Line 420"/>
        <xdr:cNvSpPr>
          <a:spLocks/>
        </xdr:cNvSpPr>
      </xdr:nvSpPr>
      <xdr:spPr>
        <a:xfrm>
          <a:off x="4124325" y="5002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158</xdr:row>
      <xdr:rowOff>0</xdr:rowOff>
    </xdr:from>
    <xdr:to>
      <xdr:col>4</xdr:col>
      <xdr:colOff>0</xdr:colOff>
      <xdr:row>158</xdr:row>
      <xdr:rowOff>0</xdr:rowOff>
    </xdr:to>
    <xdr:sp>
      <xdr:nvSpPr>
        <xdr:cNvPr id="421" name="Line 421"/>
        <xdr:cNvSpPr>
          <a:spLocks/>
        </xdr:cNvSpPr>
      </xdr:nvSpPr>
      <xdr:spPr>
        <a:xfrm>
          <a:off x="4124325" y="5002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158</xdr:row>
      <xdr:rowOff>0</xdr:rowOff>
    </xdr:from>
    <xdr:to>
      <xdr:col>4</xdr:col>
      <xdr:colOff>0</xdr:colOff>
      <xdr:row>158</xdr:row>
      <xdr:rowOff>0</xdr:rowOff>
    </xdr:to>
    <xdr:sp>
      <xdr:nvSpPr>
        <xdr:cNvPr id="422" name="Line 422"/>
        <xdr:cNvSpPr>
          <a:spLocks/>
        </xdr:cNvSpPr>
      </xdr:nvSpPr>
      <xdr:spPr>
        <a:xfrm>
          <a:off x="4124325" y="5002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157</xdr:row>
      <xdr:rowOff>190500</xdr:rowOff>
    </xdr:from>
    <xdr:to>
      <xdr:col>4</xdr:col>
      <xdr:colOff>0</xdr:colOff>
      <xdr:row>157</xdr:row>
      <xdr:rowOff>190500</xdr:rowOff>
    </xdr:to>
    <xdr:sp>
      <xdr:nvSpPr>
        <xdr:cNvPr id="423" name="Line 423"/>
        <xdr:cNvSpPr>
          <a:spLocks/>
        </xdr:cNvSpPr>
      </xdr:nvSpPr>
      <xdr:spPr>
        <a:xfrm>
          <a:off x="4124325" y="5002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157</xdr:row>
      <xdr:rowOff>190500</xdr:rowOff>
    </xdr:from>
    <xdr:to>
      <xdr:col>4</xdr:col>
      <xdr:colOff>0</xdr:colOff>
      <xdr:row>157</xdr:row>
      <xdr:rowOff>190500</xdr:rowOff>
    </xdr:to>
    <xdr:sp>
      <xdr:nvSpPr>
        <xdr:cNvPr id="424" name="Line 424"/>
        <xdr:cNvSpPr>
          <a:spLocks/>
        </xdr:cNvSpPr>
      </xdr:nvSpPr>
      <xdr:spPr>
        <a:xfrm>
          <a:off x="4124325" y="5002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158</xdr:row>
      <xdr:rowOff>0</xdr:rowOff>
    </xdr:from>
    <xdr:to>
      <xdr:col>4</xdr:col>
      <xdr:colOff>0</xdr:colOff>
      <xdr:row>158</xdr:row>
      <xdr:rowOff>0</xdr:rowOff>
    </xdr:to>
    <xdr:sp>
      <xdr:nvSpPr>
        <xdr:cNvPr id="425" name="Line 425"/>
        <xdr:cNvSpPr>
          <a:spLocks/>
        </xdr:cNvSpPr>
      </xdr:nvSpPr>
      <xdr:spPr>
        <a:xfrm>
          <a:off x="4124325" y="5002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158</xdr:row>
      <xdr:rowOff>0</xdr:rowOff>
    </xdr:from>
    <xdr:to>
      <xdr:col>4</xdr:col>
      <xdr:colOff>0</xdr:colOff>
      <xdr:row>158</xdr:row>
      <xdr:rowOff>0</xdr:rowOff>
    </xdr:to>
    <xdr:sp>
      <xdr:nvSpPr>
        <xdr:cNvPr id="426" name="Line 426"/>
        <xdr:cNvSpPr>
          <a:spLocks/>
        </xdr:cNvSpPr>
      </xdr:nvSpPr>
      <xdr:spPr>
        <a:xfrm>
          <a:off x="4124325" y="5002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133350</xdr:rowOff>
    </xdr:from>
    <xdr:to>
      <xdr:col>4</xdr:col>
      <xdr:colOff>0</xdr:colOff>
      <xdr:row>84</xdr:row>
      <xdr:rowOff>133350</xdr:rowOff>
    </xdr:to>
    <xdr:sp>
      <xdr:nvSpPr>
        <xdr:cNvPr id="427" name="Line 429"/>
        <xdr:cNvSpPr>
          <a:spLocks/>
        </xdr:cNvSpPr>
      </xdr:nvSpPr>
      <xdr:spPr>
        <a:xfrm>
          <a:off x="4124325" y="2713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142875</xdr:rowOff>
    </xdr:from>
    <xdr:to>
      <xdr:col>4</xdr:col>
      <xdr:colOff>0</xdr:colOff>
      <xdr:row>84</xdr:row>
      <xdr:rowOff>142875</xdr:rowOff>
    </xdr:to>
    <xdr:sp>
      <xdr:nvSpPr>
        <xdr:cNvPr id="428" name="Line 430"/>
        <xdr:cNvSpPr>
          <a:spLocks/>
        </xdr:cNvSpPr>
      </xdr:nvSpPr>
      <xdr:spPr>
        <a:xfrm>
          <a:off x="4124325" y="2714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133350</xdr:rowOff>
    </xdr:from>
    <xdr:to>
      <xdr:col>4</xdr:col>
      <xdr:colOff>0</xdr:colOff>
      <xdr:row>85</xdr:row>
      <xdr:rowOff>133350</xdr:rowOff>
    </xdr:to>
    <xdr:sp>
      <xdr:nvSpPr>
        <xdr:cNvPr id="429" name="Line 431"/>
        <xdr:cNvSpPr>
          <a:spLocks/>
        </xdr:cNvSpPr>
      </xdr:nvSpPr>
      <xdr:spPr>
        <a:xfrm>
          <a:off x="4124325" y="2729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142875</xdr:rowOff>
    </xdr:from>
    <xdr:to>
      <xdr:col>4</xdr:col>
      <xdr:colOff>0</xdr:colOff>
      <xdr:row>85</xdr:row>
      <xdr:rowOff>142875</xdr:rowOff>
    </xdr:to>
    <xdr:sp>
      <xdr:nvSpPr>
        <xdr:cNvPr id="430" name="Line 432"/>
        <xdr:cNvSpPr>
          <a:spLocks/>
        </xdr:cNvSpPr>
      </xdr:nvSpPr>
      <xdr:spPr>
        <a:xfrm>
          <a:off x="4124325" y="2730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133350</xdr:rowOff>
    </xdr:from>
    <xdr:to>
      <xdr:col>4</xdr:col>
      <xdr:colOff>0</xdr:colOff>
      <xdr:row>108</xdr:row>
      <xdr:rowOff>133350</xdr:rowOff>
    </xdr:to>
    <xdr:sp>
      <xdr:nvSpPr>
        <xdr:cNvPr id="431" name="Line 433"/>
        <xdr:cNvSpPr>
          <a:spLocks/>
        </xdr:cNvSpPr>
      </xdr:nvSpPr>
      <xdr:spPr>
        <a:xfrm>
          <a:off x="4124325" y="3436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142875</xdr:rowOff>
    </xdr:from>
    <xdr:to>
      <xdr:col>4</xdr:col>
      <xdr:colOff>0</xdr:colOff>
      <xdr:row>108</xdr:row>
      <xdr:rowOff>142875</xdr:rowOff>
    </xdr:to>
    <xdr:sp>
      <xdr:nvSpPr>
        <xdr:cNvPr id="432" name="Line 434"/>
        <xdr:cNvSpPr>
          <a:spLocks/>
        </xdr:cNvSpPr>
      </xdr:nvSpPr>
      <xdr:spPr>
        <a:xfrm>
          <a:off x="4124325" y="3437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153</xdr:row>
      <xdr:rowOff>228600</xdr:rowOff>
    </xdr:from>
    <xdr:to>
      <xdr:col>4</xdr:col>
      <xdr:colOff>0</xdr:colOff>
      <xdr:row>153</xdr:row>
      <xdr:rowOff>228600</xdr:rowOff>
    </xdr:to>
    <xdr:sp>
      <xdr:nvSpPr>
        <xdr:cNvPr id="433" name="Line 435"/>
        <xdr:cNvSpPr>
          <a:spLocks/>
        </xdr:cNvSpPr>
      </xdr:nvSpPr>
      <xdr:spPr>
        <a:xfrm>
          <a:off x="4124325" y="490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153</xdr:row>
      <xdr:rowOff>228600</xdr:rowOff>
    </xdr:from>
    <xdr:to>
      <xdr:col>4</xdr:col>
      <xdr:colOff>0</xdr:colOff>
      <xdr:row>153</xdr:row>
      <xdr:rowOff>228600</xdr:rowOff>
    </xdr:to>
    <xdr:sp>
      <xdr:nvSpPr>
        <xdr:cNvPr id="434" name="Line 436"/>
        <xdr:cNvSpPr>
          <a:spLocks/>
        </xdr:cNvSpPr>
      </xdr:nvSpPr>
      <xdr:spPr>
        <a:xfrm>
          <a:off x="4124325" y="490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152400</xdr:rowOff>
    </xdr:from>
    <xdr:to>
      <xdr:col>4</xdr:col>
      <xdr:colOff>0</xdr:colOff>
      <xdr:row>154</xdr:row>
      <xdr:rowOff>152400</xdr:rowOff>
    </xdr:to>
    <xdr:sp>
      <xdr:nvSpPr>
        <xdr:cNvPr id="435" name="Line 437"/>
        <xdr:cNvSpPr>
          <a:spLocks/>
        </xdr:cNvSpPr>
      </xdr:nvSpPr>
      <xdr:spPr>
        <a:xfrm>
          <a:off x="4124325" y="493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152400</xdr:rowOff>
    </xdr:from>
    <xdr:to>
      <xdr:col>4</xdr:col>
      <xdr:colOff>0</xdr:colOff>
      <xdr:row>154</xdr:row>
      <xdr:rowOff>152400</xdr:rowOff>
    </xdr:to>
    <xdr:sp>
      <xdr:nvSpPr>
        <xdr:cNvPr id="436" name="Line 438"/>
        <xdr:cNvSpPr>
          <a:spLocks/>
        </xdr:cNvSpPr>
      </xdr:nvSpPr>
      <xdr:spPr>
        <a:xfrm>
          <a:off x="4124325" y="493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153</xdr:row>
      <xdr:rowOff>190500</xdr:rowOff>
    </xdr:from>
    <xdr:to>
      <xdr:col>4</xdr:col>
      <xdr:colOff>0</xdr:colOff>
      <xdr:row>153</xdr:row>
      <xdr:rowOff>190500</xdr:rowOff>
    </xdr:to>
    <xdr:sp>
      <xdr:nvSpPr>
        <xdr:cNvPr id="437" name="Line 439"/>
        <xdr:cNvSpPr>
          <a:spLocks/>
        </xdr:cNvSpPr>
      </xdr:nvSpPr>
      <xdr:spPr>
        <a:xfrm>
          <a:off x="4124325" y="490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153</xdr:row>
      <xdr:rowOff>190500</xdr:rowOff>
    </xdr:from>
    <xdr:to>
      <xdr:col>4</xdr:col>
      <xdr:colOff>0</xdr:colOff>
      <xdr:row>153</xdr:row>
      <xdr:rowOff>190500</xdr:rowOff>
    </xdr:to>
    <xdr:sp>
      <xdr:nvSpPr>
        <xdr:cNvPr id="438" name="Line 440"/>
        <xdr:cNvSpPr>
          <a:spLocks/>
        </xdr:cNvSpPr>
      </xdr:nvSpPr>
      <xdr:spPr>
        <a:xfrm>
          <a:off x="4124325" y="490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123825</xdr:rowOff>
    </xdr:from>
    <xdr:to>
      <xdr:col>4</xdr:col>
      <xdr:colOff>0</xdr:colOff>
      <xdr:row>154</xdr:row>
      <xdr:rowOff>123825</xdr:rowOff>
    </xdr:to>
    <xdr:sp>
      <xdr:nvSpPr>
        <xdr:cNvPr id="439" name="Line 441"/>
        <xdr:cNvSpPr>
          <a:spLocks/>
        </xdr:cNvSpPr>
      </xdr:nvSpPr>
      <xdr:spPr>
        <a:xfrm>
          <a:off x="4124325" y="4931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123825</xdr:rowOff>
    </xdr:from>
    <xdr:to>
      <xdr:col>4</xdr:col>
      <xdr:colOff>0</xdr:colOff>
      <xdr:row>154</xdr:row>
      <xdr:rowOff>123825</xdr:rowOff>
    </xdr:to>
    <xdr:sp>
      <xdr:nvSpPr>
        <xdr:cNvPr id="440" name="Line 442"/>
        <xdr:cNvSpPr>
          <a:spLocks/>
        </xdr:cNvSpPr>
      </xdr:nvSpPr>
      <xdr:spPr>
        <a:xfrm>
          <a:off x="4124325" y="4931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441" name="Line 443"/>
        <xdr:cNvSpPr>
          <a:spLocks/>
        </xdr:cNvSpPr>
      </xdr:nvSpPr>
      <xdr:spPr>
        <a:xfrm>
          <a:off x="4124325" y="3567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sp>
      <xdr:nvSpPr>
        <xdr:cNvPr id="442" name="Line 444"/>
        <xdr:cNvSpPr>
          <a:spLocks/>
        </xdr:cNvSpPr>
      </xdr:nvSpPr>
      <xdr:spPr>
        <a:xfrm>
          <a:off x="4124325" y="3567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161925</xdr:rowOff>
    </xdr:from>
    <xdr:to>
      <xdr:col>4</xdr:col>
      <xdr:colOff>0</xdr:colOff>
      <xdr:row>27</xdr:row>
      <xdr:rowOff>161925</xdr:rowOff>
    </xdr:to>
    <xdr:sp>
      <xdr:nvSpPr>
        <xdr:cNvPr id="443" name="Line 445"/>
        <xdr:cNvSpPr>
          <a:spLocks/>
        </xdr:cNvSpPr>
      </xdr:nvSpPr>
      <xdr:spPr>
        <a:xfrm>
          <a:off x="4124325" y="806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257175</xdr:rowOff>
    </xdr:from>
    <xdr:to>
      <xdr:col>4</xdr:col>
      <xdr:colOff>0</xdr:colOff>
      <xdr:row>28</xdr:row>
      <xdr:rowOff>257175</xdr:rowOff>
    </xdr:to>
    <xdr:sp>
      <xdr:nvSpPr>
        <xdr:cNvPr id="444" name="Line 446"/>
        <xdr:cNvSpPr>
          <a:spLocks/>
        </xdr:cNvSpPr>
      </xdr:nvSpPr>
      <xdr:spPr>
        <a:xfrm>
          <a:off x="412432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257175</xdr:rowOff>
    </xdr:from>
    <xdr:to>
      <xdr:col>4</xdr:col>
      <xdr:colOff>0</xdr:colOff>
      <xdr:row>28</xdr:row>
      <xdr:rowOff>257175</xdr:rowOff>
    </xdr:to>
    <xdr:sp>
      <xdr:nvSpPr>
        <xdr:cNvPr id="445" name="Line 447"/>
        <xdr:cNvSpPr>
          <a:spLocks/>
        </xdr:cNvSpPr>
      </xdr:nvSpPr>
      <xdr:spPr>
        <a:xfrm>
          <a:off x="412432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266700</xdr:rowOff>
    </xdr:from>
    <xdr:to>
      <xdr:col>4</xdr:col>
      <xdr:colOff>0</xdr:colOff>
      <xdr:row>67</xdr:row>
      <xdr:rowOff>266700</xdr:rowOff>
    </xdr:to>
    <xdr:sp>
      <xdr:nvSpPr>
        <xdr:cNvPr id="446" name="Line 448"/>
        <xdr:cNvSpPr>
          <a:spLocks/>
        </xdr:cNvSpPr>
      </xdr:nvSpPr>
      <xdr:spPr>
        <a:xfrm>
          <a:off x="4124325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266700</xdr:rowOff>
    </xdr:from>
    <xdr:to>
      <xdr:col>4</xdr:col>
      <xdr:colOff>0</xdr:colOff>
      <xdr:row>67</xdr:row>
      <xdr:rowOff>266700</xdr:rowOff>
    </xdr:to>
    <xdr:sp>
      <xdr:nvSpPr>
        <xdr:cNvPr id="447" name="Line 449"/>
        <xdr:cNvSpPr>
          <a:spLocks/>
        </xdr:cNvSpPr>
      </xdr:nvSpPr>
      <xdr:spPr>
        <a:xfrm>
          <a:off x="4124325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166</xdr:row>
      <xdr:rowOff>142875</xdr:rowOff>
    </xdr:from>
    <xdr:to>
      <xdr:col>4</xdr:col>
      <xdr:colOff>0</xdr:colOff>
      <xdr:row>166</xdr:row>
      <xdr:rowOff>142875</xdr:rowOff>
    </xdr:to>
    <xdr:sp>
      <xdr:nvSpPr>
        <xdr:cNvPr id="448" name="Line 450"/>
        <xdr:cNvSpPr>
          <a:spLocks/>
        </xdr:cNvSpPr>
      </xdr:nvSpPr>
      <xdr:spPr>
        <a:xfrm>
          <a:off x="4124325" y="5197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167</xdr:row>
      <xdr:rowOff>0</xdr:rowOff>
    </xdr:from>
    <xdr:to>
      <xdr:col>4</xdr:col>
      <xdr:colOff>0</xdr:colOff>
      <xdr:row>167</xdr:row>
      <xdr:rowOff>0</xdr:rowOff>
    </xdr:to>
    <xdr:sp>
      <xdr:nvSpPr>
        <xdr:cNvPr id="449" name="Line 451"/>
        <xdr:cNvSpPr>
          <a:spLocks/>
        </xdr:cNvSpPr>
      </xdr:nvSpPr>
      <xdr:spPr>
        <a:xfrm>
          <a:off x="4124325" y="5199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166</xdr:row>
      <xdr:rowOff>142875</xdr:rowOff>
    </xdr:from>
    <xdr:to>
      <xdr:col>4</xdr:col>
      <xdr:colOff>0</xdr:colOff>
      <xdr:row>166</xdr:row>
      <xdr:rowOff>142875</xdr:rowOff>
    </xdr:to>
    <xdr:sp>
      <xdr:nvSpPr>
        <xdr:cNvPr id="450" name="Line 452"/>
        <xdr:cNvSpPr>
          <a:spLocks/>
        </xdr:cNvSpPr>
      </xdr:nvSpPr>
      <xdr:spPr>
        <a:xfrm>
          <a:off x="4124325" y="5197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167</xdr:row>
      <xdr:rowOff>0</xdr:rowOff>
    </xdr:from>
    <xdr:to>
      <xdr:col>4</xdr:col>
      <xdr:colOff>0</xdr:colOff>
      <xdr:row>167</xdr:row>
      <xdr:rowOff>0</xdr:rowOff>
    </xdr:to>
    <xdr:sp>
      <xdr:nvSpPr>
        <xdr:cNvPr id="451" name="Line 453"/>
        <xdr:cNvSpPr>
          <a:spLocks/>
        </xdr:cNvSpPr>
      </xdr:nvSpPr>
      <xdr:spPr>
        <a:xfrm>
          <a:off x="4124325" y="5199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0</xdr:row>
      <xdr:rowOff>0</xdr:rowOff>
    </xdr:from>
    <xdr:to>
      <xdr:col>4</xdr:col>
      <xdr:colOff>504825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028950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895350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763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763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123825</xdr:colOff>
      <xdr:row>0</xdr:row>
      <xdr:rowOff>0</xdr:rowOff>
    </xdr:from>
    <xdr:to>
      <xdr:col>2</xdr:col>
      <xdr:colOff>219075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334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123825</xdr:colOff>
      <xdr:row>0</xdr:row>
      <xdr:rowOff>0</xdr:rowOff>
    </xdr:from>
    <xdr:to>
      <xdr:col>2</xdr:col>
      <xdr:colOff>219075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334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895350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8763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2</xdr:col>
      <xdr:colOff>133350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86677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8763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8763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390525</xdr:colOff>
      <xdr:row>0</xdr:row>
      <xdr:rowOff>0</xdr:rowOff>
    </xdr:from>
    <xdr:to>
      <xdr:col>4</xdr:col>
      <xdr:colOff>504825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028950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390525</xdr:colOff>
      <xdr:row>0</xdr:row>
      <xdr:rowOff>0</xdr:rowOff>
    </xdr:from>
    <xdr:to>
      <xdr:col>4</xdr:col>
      <xdr:colOff>504825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3028950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390525</xdr:colOff>
      <xdr:row>0</xdr:row>
      <xdr:rowOff>0</xdr:rowOff>
    </xdr:from>
    <xdr:to>
      <xdr:col>4</xdr:col>
      <xdr:colOff>504825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3028950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263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390525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263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390525</xdr:colOff>
      <xdr:row>0</xdr:row>
      <xdr:rowOff>0</xdr:rowOff>
    </xdr:from>
    <xdr:to>
      <xdr:col>4</xdr:col>
      <xdr:colOff>504825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3028950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263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390525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263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355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355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355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55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355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8763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2</xdr:col>
      <xdr:colOff>133350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86677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390525</xdr:colOff>
      <xdr:row>0</xdr:row>
      <xdr:rowOff>0</xdr:rowOff>
    </xdr:from>
    <xdr:to>
      <xdr:col>4</xdr:col>
      <xdr:colOff>504825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028950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355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55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355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390525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263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8763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390525</xdr:colOff>
      <xdr:row>0</xdr:row>
      <xdr:rowOff>0</xdr:rowOff>
    </xdr:from>
    <xdr:to>
      <xdr:col>4</xdr:col>
      <xdr:colOff>504825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3028950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263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390525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63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390525</xdr:colOff>
      <xdr:row>0</xdr:row>
      <xdr:rowOff>0</xdr:rowOff>
    </xdr:from>
    <xdr:to>
      <xdr:col>4</xdr:col>
      <xdr:colOff>504825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028950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390525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63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355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55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8763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390525</xdr:colOff>
      <xdr:row>0</xdr:row>
      <xdr:rowOff>0</xdr:rowOff>
    </xdr:from>
    <xdr:to>
      <xdr:col>4</xdr:col>
      <xdr:colOff>504825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028950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263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390525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263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390525</xdr:colOff>
      <xdr:row>0</xdr:row>
      <xdr:rowOff>0</xdr:rowOff>
    </xdr:from>
    <xdr:to>
      <xdr:col>4</xdr:col>
      <xdr:colOff>504825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3028950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263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390525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263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390525</xdr:colOff>
      <xdr:row>0</xdr:row>
      <xdr:rowOff>0</xdr:rowOff>
    </xdr:from>
    <xdr:to>
      <xdr:col>4</xdr:col>
      <xdr:colOff>504825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3028950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390525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263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263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390525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263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390525</xdr:colOff>
      <xdr:row>0</xdr:row>
      <xdr:rowOff>0</xdr:rowOff>
    </xdr:from>
    <xdr:to>
      <xdr:col>4</xdr:col>
      <xdr:colOff>504825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3028950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2</xdr:col>
      <xdr:colOff>133350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86677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390525</xdr:colOff>
      <xdr:row>0</xdr:row>
      <xdr:rowOff>0</xdr:rowOff>
    </xdr:from>
    <xdr:to>
      <xdr:col>4</xdr:col>
      <xdr:colOff>504825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3028950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63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390525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63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895350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8763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8763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8763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8763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8763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8763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8763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123825</xdr:colOff>
      <xdr:row>0</xdr:row>
      <xdr:rowOff>0</xdr:rowOff>
    </xdr:from>
    <xdr:to>
      <xdr:col>2</xdr:col>
      <xdr:colOff>219075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9334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123825</xdr:colOff>
      <xdr:row>0</xdr:row>
      <xdr:rowOff>0</xdr:rowOff>
    </xdr:from>
    <xdr:to>
      <xdr:col>2</xdr:col>
      <xdr:colOff>219075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9334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123825</xdr:colOff>
      <xdr:row>0</xdr:row>
      <xdr:rowOff>0</xdr:rowOff>
    </xdr:from>
    <xdr:to>
      <xdr:col>2</xdr:col>
      <xdr:colOff>219075</xdr:colOff>
      <xdr:row>0</xdr:row>
      <xdr:rowOff>0</xdr:rowOff>
    </xdr:to>
    <xdr:sp>
      <xdr:nvSpPr>
        <xdr:cNvPr id="145" name="Line 147"/>
        <xdr:cNvSpPr>
          <a:spLocks/>
        </xdr:cNvSpPr>
      </xdr:nvSpPr>
      <xdr:spPr>
        <a:xfrm>
          <a:off x="9334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146" name="Line 148"/>
        <xdr:cNvSpPr>
          <a:spLocks/>
        </xdr:cNvSpPr>
      </xdr:nvSpPr>
      <xdr:spPr>
        <a:xfrm>
          <a:off x="914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>
      <xdr:nvSpPr>
        <xdr:cNvPr id="147" name="Line 157"/>
        <xdr:cNvSpPr>
          <a:spLocks/>
        </xdr:cNvSpPr>
      </xdr:nvSpPr>
      <xdr:spPr>
        <a:xfrm>
          <a:off x="355282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</xdr:colOff>
      <xdr:row>14</xdr:row>
      <xdr:rowOff>0</xdr:rowOff>
    </xdr:from>
    <xdr:to>
      <xdr:col>2</xdr:col>
      <xdr:colOff>200025</xdr:colOff>
      <xdr:row>14</xdr:row>
      <xdr:rowOff>0</xdr:rowOff>
    </xdr:to>
    <xdr:sp>
      <xdr:nvSpPr>
        <xdr:cNvPr id="148" name="Line 158"/>
        <xdr:cNvSpPr>
          <a:spLocks/>
        </xdr:cNvSpPr>
      </xdr:nvSpPr>
      <xdr:spPr>
        <a:xfrm>
          <a:off x="895350" y="34194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18</xdr:row>
      <xdr:rowOff>0</xdr:rowOff>
    </xdr:from>
    <xdr:to>
      <xdr:col>2</xdr:col>
      <xdr:colOff>142875</xdr:colOff>
      <xdr:row>18</xdr:row>
      <xdr:rowOff>0</xdr:rowOff>
    </xdr:to>
    <xdr:sp>
      <xdr:nvSpPr>
        <xdr:cNvPr id="149" name="Line 159"/>
        <xdr:cNvSpPr>
          <a:spLocks/>
        </xdr:cNvSpPr>
      </xdr:nvSpPr>
      <xdr:spPr>
        <a:xfrm>
          <a:off x="876300" y="41910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18</xdr:row>
      <xdr:rowOff>0</xdr:rowOff>
    </xdr:from>
    <xdr:to>
      <xdr:col>2</xdr:col>
      <xdr:colOff>142875</xdr:colOff>
      <xdr:row>18</xdr:row>
      <xdr:rowOff>0</xdr:rowOff>
    </xdr:to>
    <xdr:sp>
      <xdr:nvSpPr>
        <xdr:cNvPr id="150" name="Line 160"/>
        <xdr:cNvSpPr>
          <a:spLocks/>
        </xdr:cNvSpPr>
      </xdr:nvSpPr>
      <xdr:spPr>
        <a:xfrm>
          <a:off x="876300" y="41910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47</xdr:row>
      <xdr:rowOff>0</xdr:rowOff>
    </xdr:from>
    <xdr:to>
      <xdr:col>2</xdr:col>
      <xdr:colOff>209550</xdr:colOff>
      <xdr:row>47</xdr:row>
      <xdr:rowOff>0</xdr:rowOff>
    </xdr:to>
    <xdr:sp>
      <xdr:nvSpPr>
        <xdr:cNvPr id="151" name="Line 161"/>
        <xdr:cNvSpPr>
          <a:spLocks/>
        </xdr:cNvSpPr>
      </xdr:nvSpPr>
      <xdr:spPr>
        <a:xfrm>
          <a:off x="914400" y="116586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49</xdr:row>
      <xdr:rowOff>0</xdr:rowOff>
    </xdr:from>
    <xdr:to>
      <xdr:col>2</xdr:col>
      <xdr:colOff>209550</xdr:colOff>
      <xdr:row>49</xdr:row>
      <xdr:rowOff>0</xdr:rowOff>
    </xdr:to>
    <xdr:sp>
      <xdr:nvSpPr>
        <xdr:cNvPr id="152" name="Line 162"/>
        <xdr:cNvSpPr>
          <a:spLocks/>
        </xdr:cNvSpPr>
      </xdr:nvSpPr>
      <xdr:spPr>
        <a:xfrm>
          <a:off x="914400" y="120205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50</xdr:row>
      <xdr:rowOff>0</xdr:rowOff>
    </xdr:from>
    <xdr:to>
      <xdr:col>2</xdr:col>
      <xdr:colOff>209550</xdr:colOff>
      <xdr:row>50</xdr:row>
      <xdr:rowOff>0</xdr:rowOff>
    </xdr:to>
    <xdr:sp>
      <xdr:nvSpPr>
        <xdr:cNvPr id="153" name="Line 163"/>
        <xdr:cNvSpPr>
          <a:spLocks/>
        </xdr:cNvSpPr>
      </xdr:nvSpPr>
      <xdr:spPr>
        <a:xfrm>
          <a:off x="914400" y="122015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50</xdr:row>
      <xdr:rowOff>0</xdr:rowOff>
    </xdr:from>
    <xdr:to>
      <xdr:col>2</xdr:col>
      <xdr:colOff>209550</xdr:colOff>
      <xdr:row>50</xdr:row>
      <xdr:rowOff>0</xdr:rowOff>
    </xdr:to>
    <xdr:sp>
      <xdr:nvSpPr>
        <xdr:cNvPr id="154" name="Line 164"/>
        <xdr:cNvSpPr>
          <a:spLocks/>
        </xdr:cNvSpPr>
      </xdr:nvSpPr>
      <xdr:spPr>
        <a:xfrm>
          <a:off x="914400" y="122015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50</xdr:row>
      <xdr:rowOff>0</xdr:rowOff>
    </xdr:from>
    <xdr:to>
      <xdr:col>2</xdr:col>
      <xdr:colOff>209550</xdr:colOff>
      <xdr:row>50</xdr:row>
      <xdr:rowOff>0</xdr:rowOff>
    </xdr:to>
    <xdr:sp>
      <xdr:nvSpPr>
        <xdr:cNvPr id="155" name="Line 165"/>
        <xdr:cNvSpPr>
          <a:spLocks/>
        </xdr:cNvSpPr>
      </xdr:nvSpPr>
      <xdr:spPr>
        <a:xfrm>
          <a:off x="914400" y="122015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52</xdr:row>
      <xdr:rowOff>0</xdr:rowOff>
    </xdr:from>
    <xdr:to>
      <xdr:col>2</xdr:col>
      <xdr:colOff>209550</xdr:colOff>
      <xdr:row>52</xdr:row>
      <xdr:rowOff>0</xdr:rowOff>
    </xdr:to>
    <xdr:sp>
      <xdr:nvSpPr>
        <xdr:cNvPr id="156" name="Line 166"/>
        <xdr:cNvSpPr>
          <a:spLocks/>
        </xdr:cNvSpPr>
      </xdr:nvSpPr>
      <xdr:spPr>
        <a:xfrm>
          <a:off x="914400" y="125634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52</xdr:row>
      <xdr:rowOff>0</xdr:rowOff>
    </xdr:from>
    <xdr:to>
      <xdr:col>2</xdr:col>
      <xdr:colOff>209550</xdr:colOff>
      <xdr:row>52</xdr:row>
      <xdr:rowOff>0</xdr:rowOff>
    </xdr:to>
    <xdr:sp>
      <xdr:nvSpPr>
        <xdr:cNvPr id="157" name="Line 167"/>
        <xdr:cNvSpPr>
          <a:spLocks/>
        </xdr:cNvSpPr>
      </xdr:nvSpPr>
      <xdr:spPr>
        <a:xfrm>
          <a:off x="914400" y="125634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52</xdr:row>
      <xdr:rowOff>0</xdr:rowOff>
    </xdr:from>
    <xdr:to>
      <xdr:col>2</xdr:col>
      <xdr:colOff>209550</xdr:colOff>
      <xdr:row>52</xdr:row>
      <xdr:rowOff>0</xdr:rowOff>
    </xdr:to>
    <xdr:sp>
      <xdr:nvSpPr>
        <xdr:cNvPr id="158" name="Line 168"/>
        <xdr:cNvSpPr>
          <a:spLocks/>
        </xdr:cNvSpPr>
      </xdr:nvSpPr>
      <xdr:spPr>
        <a:xfrm>
          <a:off x="914400" y="125634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52</xdr:row>
      <xdr:rowOff>0</xdr:rowOff>
    </xdr:from>
    <xdr:to>
      <xdr:col>2</xdr:col>
      <xdr:colOff>209550</xdr:colOff>
      <xdr:row>52</xdr:row>
      <xdr:rowOff>0</xdr:rowOff>
    </xdr:to>
    <xdr:sp>
      <xdr:nvSpPr>
        <xdr:cNvPr id="159" name="Line 169"/>
        <xdr:cNvSpPr>
          <a:spLocks/>
        </xdr:cNvSpPr>
      </xdr:nvSpPr>
      <xdr:spPr>
        <a:xfrm>
          <a:off x="914400" y="125634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53</xdr:row>
      <xdr:rowOff>0</xdr:rowOff>
    </xdr:from>
    <xdr:to>
      <xdr:col>2</xdr:col>
      <xdr:colOff>209550</xdr:colOff>
      <xdr:row>53</xdr:row>
      <xdr:rowOff>0</xdr:rowOff>
    </xdr:to>
    <xdr:sp>
      <xdr:nvSpPr>
        <xdr:cNvPr id="160" name="Line 170"/>
        <xdr:cNvSpPr>
          <a:spLocks/>
        </xdr:cNvSpPr>
      </xdr:nvSpPr>
      <xdr:spPr>
        <a:xfrm>
          <a:off x="914400" y="128492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54</xdr:row>
      <xdr:rowOff>0</xdr:rowOff>
    </xdr:from>
    <xdr:to>
      <xdr:col>2</xdr:col>
      <xdr:colOff>209550</xdr:colOff>
      <xdr:row>54</xdr:row>
      <xdr:rowOff>0</xdr:rowOff>
    </xdr:to>
    <xdr:sp>
      <xdr:nvSpPr>
        <xdr:cNvPr id="161" name="Line 171"/>
        <xdr:cNvSpPr>
          <a:spLocks/>
        </xdr:cNvSpPr>
      </xdr:nvSpPr>
      <xdr:spPr>
        <a:xfrm>
          <a:off x="914400" y="132969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54</xdr:row>
      <xdr:rowOff>0</xdr:rowOff>
    </xdr:from>
    <xdr:to>
      <xdr:col>2</xdr:col>
      <xdr:colOff>209550</xdr:colOff>
      <xdr:row>54</xdr:row>
      <xdr:rowOff>0</xdr:rowOff>
    </xdr:to>
    <xdr:sp>
      <xdr:nvSpPr>
        <xdr:cNvPr id="162" name="Line 172"/>
        <xdr:cNvSpPr>
          <a:spLocks/>
        </xdr:cNvSpPr>
      </xdr:nvSpPr>
      <xdr:spPr>
        <a:xfrm>
          <a:off x="914400" y="132969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74</xdr:row>
      <xdr:rowOff>0</xdr:rowOff>
    </xdr:from>
    <xdr:to>
      <xdr:col>2</xdr:col>
      <xdr:colOff>209550</xdr:colOff>
      <xdr:row>74</xdr:row>
      <xdr:rowOff>0</xdr:rowOff>
    </xdr:to>
    <xdr:sp>
      <xdr:nvSpPr>
        <xdr:cNvPr id="163" name="Line 173"/>
        <xdr:cNvSpPr>
          <a:spLocks/>
        </xdr:cNvSpPr>
      </xdr:nvSpPr>
      <xdr:spPr>
        <a:xfrm>
          <a:off x="914400" y="181641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74</xdr:row>
      <xdr:rowOff>0</xdr:rowOff>
    </xdr:from>
    <xdr:to>
      <xdr:col>2</xdr:col>
      <xdr:colOff>209550</xdr:colOff>
      <xdr:row>74</xdr:row>
      <xdr:rowOff>0</xdr:rowOff>
    </xdr:to>
    <xdr:sp>
      <xdr:nvSpPr>
        <xdr:cNvPr id="164" name="Line 174"/>
        <xdr:cNvSpPr>
          <a:spLocks/>
        </xdr:cNvSpPr>
      </xdr:nvSpPr>
      <xdr:spPr>
        <a:xfrm>
          <a:off x="914400" y="181641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74</xdr:row>
      <xdr:rowOff>0</xdr:rowOff>
    </xdr:from>
    <xdr:to>
      <xdr:col>2</xdr:col>
      <xdr:colOff>209550</xdr:colOff>
      <xdr:row>74</xdr:row>
      <xdr:rowOff>0</xdr:rowOff>
    </xdr:to>
    <xdr:sp>
      <xdr:nvSpPr>
        <xdr:cNvPr id="165" name="Line 175"/>
        <xdr:cNvSpPr>
          <a:spLocks/>
        </xdr:cNvSpPr>
      </xdr:nvSpPr>
      <xdr:spPr>
        <a:xfrm>
          <a:off x="914400" y="181641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74</xdr:row>
      <xdr:rowOff>0</xdr:rowOff>
    </xdr:from>
    <xdr:to>
      <xdr:col>2</xdr:col>
      <xdr:colOff>209550</xdr:colOff>
      <xdr:row>74</xdr:row>
      <xdr:rowOff>0</xdr:rowOff>
    </xdr:to>
    <xdr:sp>
      <xdr:nvSpPr>
        <xdr:cNvPr id="166" name="Line 176"/>
        <xdr:cNvSpPr>
          <a:spLocks/>
        </xdr:cNvSpPr>
      </xdr:nvSpPr>
      <xdr:spPr>
        <a:xfrm>
          <a:off x="914400" y="181641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123825</xdr:colOff>
      <xdr:row>93</xdr:row>
      <xdr:rowOff>0</xdr:rowOff>
    </xdr:from>
    <xdr:to>
      <xdr:col>2</xdr:col>
      <xdr:colOff>219075</xdr:colOff>
      <xdr:row>93</xdr:row>
      <xdr:rowOff>0</xdr:rowOff>
    </xdr:to>
    <xdr:sp>
      <xdr:nvSpPr>
        <xdr:cNvPr id="167" name="Line 177"/>
        <xdr:cNvSpPr>
          <a:spLocks/>
        </xdr:cNvSpPr>
      </xdr:nvSpPr>
      <xdr:spPr>
        <a:xfrm>
          <a:off x="933450" y="236505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123825</xdr:colOff>
      <xdr:row>93</xdr:row>
      <xdr:rowOff>0</xdr:rowOff>
    </xdr:from>
    <xdr:to>
      <xdr:col>2</xdr:col>
      <xdr:colOff>219075</xdr:colOff>
      <xdr:row>93</xdr:row>
      <xdr:rowOff>0</xdr:rowOff>
    </xdr:to>
    <xdr:sp>
      <xdr:nvSpPr>
        <xdr:cNvPr id="168" name="Line 178"/>
        <xdr:cNvSpPr>
          <a:spLocks/>
        </xdr:cNvSpPr>
      </xdr:nvSpPr>
      <xdr:spPr>
        <a:xfrm>
          <a:off x="933450" y="236505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</xdr:colOff>
      <xdr:row>13</xdr:row>
      <xdr:rowOff>0</xdr:rowOff>
    </xdr:from>
    <xdr:to>
      <xdr:col>2</xdr:col>
      <xdr:colOff>200025</xdr:colOff>
      <xdr:row>13</xdr:row>
      <xdr:rowOff>0</xdr:rowOff>
    </xdr:to>
    <xdr:sp>
      <xdr:nvSpPr>
        <xdr:cNvPr id="169" name="Line 179"/>
        <xdr:cNvSpPr>
          <a:spLocks/>
        </xdr:cNvSpPr>
      </xdr:nvSpPr>
      <xdr:spPr>
        <a:xfrm>
          <a:off x="895350" y="32289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29</xdr:row>
      <xdr:rowOff>0</xdr:rowOff>
    </xdr:from>
    <xdr:to>
      <xdr:col>2</xdr:col>
      <xdr:colOff>209550</xdr:colOff>
      <xdr:row>29</xdr:row>
      <xdr:rowOff>0</xdr:rowOff>
    </xdr:to>
    <xdr:sp>
      <xdr:nvSpPr>
        <xdr:cNvPr id="170" name="Line 180"/>
        <xdr:cNvSpPr>
          <a:spLocks/>
        </xdr:cNvSpPr>
      </xdr:nvSpPr>
      <xdr:spPr>
        <a:xfrm>
          <a:off x="914400" y="70866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33</xdr:row>
      <xdr:rowOff>0</xdr:rowOff>
    </xdr:from>
    <xdr:to>
      <xdr:col>2</xdr:col>
      <xdr:colOff>209550</xdr:colOff>
      <xdr:row>33</xdr:row>
      <xdr:rowOff>0</xdr:rowOff>
    </xdr:to>
    <xdr:sp>
      <xdr:nvSpPr>
        <xdr:cNvPr id="171" name="Line 181"/>
        <xdr:cNvSpPr>
          <a:spLocks/>
        </xdr:cNvSpPr>
      </xdr:nvSpPr>
      <xdr:spPr>
        <a:xfrm>
          <a:off x="914400" y="78105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74</xdr:row>
      <xdr:rowOff>0</xdr:rowOff>
    </xdr:from>
    <xdr:to>
      <xdr:col>2</xdr:col>
      <xdr:colOff>209550</xdr:colOff>
      <xdr:row>74</xdr:row>
      <xdr:rowOff>0</xdr:rowOff>
    </xdr:to>
    <xdr:sp>
      <xdr:nvSpPr>
        <xdr:cNvPr id="172" name="Line 184"/>
        <xdr:cNvSpPr>
          <a:spLocks/>
        </xdr:cNvSpPr>
      </xdr:nvSpPr>
      <xdr:spPr>
        <a:xfrm>
          <a:off x="914400" y="181641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80</xdr:row>
      <xdr:rowOff>0</xdr:rowOff>
    </xdr:from>
    <xdr:to>
      <xdr:col>2</xdr:col>
      <xdr:colOff>209550</xdr:colOff>
      <xdr:row>80</xdr:row>
      <xdr:rowOff>0</xdr:rowOff>
    </xdr:to>
    <xdr:sp>
      <xdr:nvSpPr>
        <xdr:cNvPr id="173" name="Line 185"/>
        <xdr:cNvSpPr>
          <a:spLocks/>
        </xdr:cNvSpPr>
      </xdr:nvSpPr>
      <xdr:spPr>
        <a:xfrm>
          <a:off x="914400" y="198596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81</xdr:row>
      <xdr:rowOff>0</xdr:rowOff>
    </xdr:from>
    <xdr:to>
      <xdr:col>2</xdr:col>
      <xdr:colOff>209550</xdr:colOff>
      <xdr:row>81</xdr:row>
      <xdr:rowOff>0</xdr:rowOff>
    </xdr:to>
    <xdr:sp>
      <xdr:nvSpPr>
        <xdr:cNvPr id="174" name="Line 186"/>
        <xdr:cNvSpPr>
          <a:spLocks/>
        </xdr:cNvSpPr>
      </xdr:nvSpPr>
      <xdr:spPr>
        <a:xfrm>
          <a:off x="914400" y="203073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82</xdr:row>
      <xdr:rowOff>0</xdr:rowOff>
    </xdr:from>
    <xdr:to>
      <xdr:col>2</xdr:col>
      <xdr:colOff>209550</xdr:colOff>
      <xdr:row>82</xdr:row>
      <xdr:rowOff>0</xdr:rowOff>
    </xdr:to>
    <xdr:sp>
      <xdr:nvSpPr>
        <xdr:cNvPr id="175" name="Line 187"/>
        <xdr:cNvSpPr>
          <a:spLocks/>
        </xdr:cNvSpPr>
      </xdr:nvSpPr>
      <xdr:spPr>
        <a:xfrm>
          <a:off x="914400" y="206025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83</xdr:row>
      <xdr:rowOff>0</xdr:rowOff>
    </xdr:from>
    <xdr:to>
      <xdr:col>2</xdr:col>
      <xdr:colOff>209550</xdr:colOff>
      <xdr:row>83</xdr:row>
      <xdr:rowOff>0</xdr:rowOff>
    </xdr:to>
    <xdr:sp>
      <xdr:nvSpPr>
        <xdr:cNvPr id="176" name="Line 188"/>
        <xdr:cNvSpPr>
          <a:spLocks/>
        </xdr:cNvSpPr>
      </xdr:nvSpPr>
      <xdr:spPr>
        <a:xfrm>
          <a:off x="914400" y="207930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83</xdr:row>
      <xdr:rowOff>0</xdr:rowOff>
    </xdr:from>
    <xdr:to>
      <xdr:col>2</xdr:col>
      <xdr:colOff>209550</xdr:colOff>
      <xdr:row>83</xdr:row>
      <xdr:rowOff>0</xdr:rowOff>
    </xdr:to>
    <xdr:sp>
      <xdr:nvSpPr>
        <xdr:cNvPr id="177" name="Line 189"/>
        <xdr:cNvSpPr>
          <a:spLocks/>
        </xdr:cNvSpPr>
      </xdr:nvSpPr>
      <xdr:spPr>
        <a:xfrm>
          <a:off x="914400" y="207930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79</xdr:row>
      <xdr:rowOff>0</xdr:rowOff>
    </xdr:from>
    <xdr:to>
      <xdr:col>2</xdr:col>
      <xdr:colOff>209550</xdr:colOff>
      <xdr:row>79</xdr:row>
      <xdr:rowOff>0</xdr:rowOff>
    </xdr:to>
    <xdr:sp>
      <xdr:nvSpPr>
        <xdr:cNvPr id="178" name="Line 190"/>
        <xdr:cNvSpPr>
          <a:spLocks/>
        </xdr:cNvSpPr>
      </xdr:nvSpPr>
      <xdr:spPr>
        <a:xfrm>
          <a:off x="914400" y="195548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52</xdr:row>
      <xdr:rowOff>0</xdr:rowOff>
    </xdr:from>
    <xdr:to>
      <xdr:col>2</xdr:col>
      <xdr:colOff>209550</xdr:colOff>
      <xdr:row>52</xdr:row>
      <xdr:rowOff>0</xdr:rowOff>
    </xdr:to>
    <xdr:sp>
      <xdr:nvSpPr>
        <xdr:cNvPr id="179" name="Line 191"/>
        <xdr:cNvSpPr>
          <a:spLocks/>
        </xdr:cNvSpPr>
      </xdr:nvSpPr>
      <xdr:spPr>
        <a:xfrm>
          <a:off x="914400" y="125634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74</xdr:row>
      <xdr:rowOff>0</xdr:rowOff>
    </xdr:from>
    <xdr:to>
      <xdr:col>2</xdr:col>
      <xdr:colOff>209550</xdr:colOff>
      <xdr:row>74</xdr:row>
      <xdr:rowOff>0</xdr:rowOff>
    </xdr:to>
    <xdr:sp>
      <xdr:nvSpPr>
        <xdr:cNvPr id="180" name="Line 192"/>
        <xdr:cNvSpPr>
          <a:spLocks/>
        </xdr:cNvSpPr>
      </xdr:nvSpPr>
      <xdr:spPr>
        <a:xfrm>
          <a:off x="914400" y="181641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85</xdr:row>
      <xdr:rowOff>0</xdr:rowOff>
    </xdr:from>
    <xdr:to>
      <xdr:col>2</xdr:col>
      <xdr:colOff>209550</xdr:colOff>
      <xdr:row>85</xdr:row>
      <xdr:rowOff>0</xdr:rowOff>
    </xdr:to>
    <xdr:sp>
      <xdr:nvSpPr>
        <xdr:cNvPr id="181" name="Line 193"/>
        <xdr:cNvSpPr>
          <a:spLocks/>
        </xdr:cNvSpPr>
      </xdr:nvSpPr>
      <xdr:spPr>
        <a:xfrm>
          <a:off x="914400" y="213931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26</xdr:row>
      <xdr:rowOff>0</xdr:rowOff>
    </xdr:from>
    <xdr:to>
      <xdr:col>2</xdr:col>
      <xdr:colOff>142875</xdr:colOff>
      <xdr:row>26</xdr:row>
      <xdr:rowOff>0</xdr:rowOff>
    </xdr:to>
    <xdr:sp>
      <xdr:nvSpPr>
        <xdr:cNvPr id="182" name="Line 194"/>
        <xdr:cNvSpPr>
          <a:spLocks/>
        </xdr:cNvSpPr>
      </xdr:nvSpPr>
      <xdr:spPr>
        <a:xfrm>
          <a:off x="876300" y="6419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32</xdr:row>
      <xdr:rowOff>0</xdr:rowOff>
    </xdr:from>
    <xdr:to>
      <xdr:col>2</xdr:col>
      <xdr:colOff>133350</xdr:colOff>
      <xdr:row>32</xdr:row>
      <xdr:rowOff>0</xdr:rowOff>
    </xdr:to>
    <xdr:sp>
      <xdr:nvSpPr>
        <xdr:cNvPr id="183" name="Line 195"/>
        <xdr:cNvSpPr>
          <a:spLocks/>
        </xdr:cNvSpPr>
      </xdr:nvSpPr>
      <xdr:spPr>
        <a:xfrm>
          <a:off x="866775" y="76295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52</xdr:row>
      <xdr:rowOff>0</xdr:rowOff>
    </xdr:from>
    <xdr:to>
      <xdr:col>2</xdr:col>
      <xdr:colOff>209550</xdr:colOff>
      <xdr:row>52</xdr:row>
      <xdr:rowOff>0</xdr:rowOff>
    </xdr:to>
    <xdr:sp>
      <xdr:nvSpPr>
        <xdr:cNvPr id="184" name="Line 196"/>
        <xdr:cNvSpPr>
          <a:spLocks/>
        </xdr:cNvSpPr>
      </xdr:nvSpPr>
      <xdr:spPr>
        <a:xfrm>
          <a:off x="914400" y="125634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61</xdr:row>
      <xdr:rowOff>0</xdr:rowOff>
    </xdr:from>
    <xdr:to>
      <xdr:col>2</xdr:col>
      <xdr:colOff>209550</xdr:colOff>
      <xdr:row>61</xdr:row>
      <xdr:rowOff>0</xdr:rowOff>
    </xdr:to>
    <xdr:sp>
      <xdr:nvSpPr>
        <xdr:cNvPr id="185" name="Line 197"/>
        <xdr:cNvSpPr>
          <a:spLocks/>
        </xdr:cNvSpPr>
      </xdr:nvSpPr>
      <xdr:spPr>
        <a:xfrm>
          <a:off x="914400" y="143160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76</xdr:row>
      <xdr:rowOff>0</xdr:rowOff>
    </xdr:from>
    <xdr:to>
      <xdr:col>2</xdr:col>
      <xdr:colOff>209550</xdr:colOff>
      <xdr:row>76</xdr:row>
      <xdr:rowOff>0</xdr:rowOff>
    </xdr:to>
    <xdr:sp>
      <xdr:nvSpPr>
        <xdr:cNvPr id="186" name="Line 198"/>
        <xdr:cNvSpPr>
          <a:spLocks/>
        </xdr:cNvSpPr>
      </xdr:nvSpPr>
      <xdr:spPr>
        <a:xfrm>
          <a:off x="914400" y="188214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18</xdr:row>
      <xdr:rowOff>0</xdr:rowOff>
    </xdr:from>
    <xdr:to>
      <xdr:col>2</xdr:col>
      <xdr:colOff>142875</xdr:colOff>
      <xdr:row>18</xdr:row>
      <xdr:rowOff>0</xdr:rowOff>
    </xdr:to>
    <xdr:sp>
      <xdr:nvSpPr>
        <xdr:cNvPr id="187" name="Line 199"/>
        <xdr:cNvSpPr>
          <a:spLocks/>
        </xdr:cNvSpPr>
      </xdr:nvSpPr>
      <xdr:spPr>
        <a:xfrm>
          <a:off x="876300" y="41910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35</xdr:row>
      <xdr:rowOff>0</xdr:rowOff>
    </xdr:from>
    <xdr:to>
      <xdr:col>2</xdr:col>
      <xdr:colOff>142875</xdr:colOff>
      <xdr:row>35</xdr:row>
      <xdr:rowOff>0</xdr:rowOff>
    </xdr:to>
    <xdr:sp>
      <xdr:nvSpPr>
        <xdr:cNvPr id="188" name="Line 200"/>
        <xdr:cNvSpPr>
          <a:spLocks/>
        </xdr:cNvSpPr>
      </xdr:nvSpPr>
      <xdr:spPr>
        <a:xfrm>
          <a:off x="876300" y="82962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74</xdr:row>
      <xdr:rowOff>0</xdr:rowOff>
    </xdr:from>
    <xdr:to>
      <xdr:col>2</xdr:col>
      <xdr:colOff>209550</xdr:colOff>
      <xdr:row>74</xdr:row>
      <xdr:rowOff>0</xdr:rowOff>
    </xdr:to>
    <xdr:sp>
      <xdr:nvSpPr>
        <xdr:cNvPr id="189" name="Line 201"/>
        <xdr:cNvSpPr>
          <a:spLocks/>
        </xdr:cNvSpPr>
      </xdr:nvSpPr>
      <xdr:spPr>
        <a:xfrm>
          <a:off x="914400" y="181641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74</xdr:row>
      <xdr:rowOff>0</xdr:rowOff>
    </xdr:from>
    <xdr:to>
      <xdr:col>2</xdr:col>
      <xdr:colOff>209550</xdr:colOff>
      <xdr:row>74</xdr:row>
      <xdr:rowOff>0</xdr:rowOff>
    </xdr:to>
    <xdr:sp>
      <xdr:nvSpPr>
        <xdr:cNvPr id="190" name="Line 202"/>
        <xdr:cNvSpPr>
          <a:spLocks/>
        </xdr:cNvSpPr>
      </xdr:nvSpPr>
      <xdr:spPr>
        <a:xfrm>
          <a:off x="914400" y="181641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48</xdr:row>
      <xdr:rowOff>0</xdr:rowOff>
    </xdr:from>
    <xdr:to>
      <xdr:col>2</xdr:col>
      <xdr:colOff>209550</xdr:colOff>
      <xdr:row>48</xdr:row>
      <xdr:rowOff>0</xdr:rowOff>
    </xdr:to>
    <xdr:sp>
      <xdr:nvSpPr>
        <xdr:cNvPr id="191" name="Line 203"/>
        <xdr:cNvSpPr>
          <a:spLocks/>
        </xdr:cNvSpPr>
      </xdr:nvSpPr>
      <xdr:spPr>
        <a:xfrm>
          <a:off x="914400" y="118395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>
      <xdr:nvSpPr>
        <xdr:cNvPr id="192" name="Line 204"/>
        <xdr:cNvSpPr>
          <a:spLocks/>
        </xdr:cNvSpPr>
      </xdr:nvSpPr>
      <xdr:spPr>
        <a:xfrm>
          <a:off x="355282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54</xdr:row>
      <xdr:rowOff>0</xdr:rowOff>
    </xdr:from>
    <xdr:to>
      <xdr:col>2</xdr:col>
      <xdr:colOff>209550</xdr:colOff>
      <xdr:row>54</xdr:row>
      <xdr:rowOff>0</xdr:rowOff>
    </xdr:to>
    <xdr:sp>
      <xdr:nvSpPr>
        <xdr:cNvPr id="193" name="Line 205"/>
        <xdr:cNvSpPr>
          <a:spLocks/>
        </xdr:cNvSpPr>
      </xdr:nvSpPr>
      <xdr:spPr>
        <a:xfrm>
          <a:off x="914400" y="132969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57</xdr:row>
      <xdr:rowOff>0</xdr:rowOff>
    </xdr:from>
    <xdr:to>
      <xdr:col>5</xdr:col>
      <xdr:colOff>0</xdr:colOff>
      <xdr:row>57</xdr:row>
      <xdr:rowOff>0</xdr:rowOff>
    </xdr:to>
    <xdr:sp>
      <xdr:nvSpPr>
        <xdr:cNvPr id="194" name="Line 206"/>
        <xdr:cNvSpPr>
          <a:spLocks/>
        </xdr:cNvSpPr>
      </xdr:nvSpPr>
      <xdr:spPr>
        <a:xfrm>
          <a:off x="3552825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84</xdr:row>
      <xdr:rowOff>0</xdr:rowOff>
    </xdr:from>
    <xdr:to>
      <xdr:col>2</xdr:col>
      <xdr:colOff>209550</xdr:colOff>
      <xdr:row>84</xdr:row>
      <xdr:rowOff>0</xdr:rowOff>
    </xdr:to>
    <xdr:sp>
      <xdr:nvSpPr>
        <xdr:cNvPr id="195" name="Line 207"/>
        <xdr:cNvSpPr>
          <a:spLocks/>
        </xdr:cNvSpPr>
      </xdr:nvSpPr>
      <xdr:spPr>
        <a:xfrm>
          <a:off x="914400" y="211074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52</xdr:row>
      <xdr:rowOff>0</xdr:rowOff>
    </xdr:from>
    <xdr:to>
      <xdr:col>2</xdr:col>
      <xdr:colOff>209550</xdr:colOff>
      <xdr:row>52</xdr:row>
      <xdr:rowOff>0</xdr:rowOff>
    </xdr:to>
    <xdr:sp>
      <xdr:nvSpPr>
        <xdr:cNvPr id="196" name="Line 208"/>
        <xdr:cNvSpPr>
          <a:spLocks/>
        </xdr:cNvSpPr>
      </xdr:nvSpPr>
      <xdr:spPr>
        <a:xfrm>
          <a:off x="914400" y="125634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61</xdr:row>
      <xdr:rowOff>0</xdr:rowOff>
    </xdr:from>
    <xdr:to>
      <xdr:col>2</xdr:col>
      <xdr:colOff>209550</xdr:colOff>
      <xdr:row>61</xdr:row>
      <xdr:rowOff>0</xdr:rowOff>
    </xdr:to>
    <xdr:sp>
      <xdr:nvSpPr>
        <xdr:cNvPr id="197" name="Line 209"/>
        <xdr:cNvSpPr>
          <a:spLocks/>
        </xdr:cNvSpPr>
      </xdr:nvSpPr>
      <xdr:spPr>
        <a:xfrm>
          <a:off x="914400" y="143160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61</xdr:row>
      <xdr:rowOff>0</xdr:rowOff>
    </xdr:from>
    <xdr:to>
      <xdr:col>2</xdr:col>
      <xdr:colOff>209550</xdr:colOff>
      <xdr:row>61</xdr:row>
      <xdr:rowOff>0</xdr:rowOff>
    </xdr:to>
    <xdr:sp>
      <xdr:nvSpPr>
        <xdr:cNvPr id="198" name="Line 210"/>
        <xdr:cNvSpPr>
          <a:spLocks/>
        </xdr:cNvSpPr>
      </xdr:nvSpPr>
      <xdr:spPr>
        <a:xfrm>
          <a:off x="914400" y="143160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61</xdr:row>
      <xdr:rowOff>0</xdr:rowOff>
    </xdr:from>
    <xdr:to>
      <xdr:col>2</xdr:col>
      <xdr:colOff>209550</xdr:colOff>
      <xdr:row>61</xdr:row>
      <xdr:rowOff>0</xdr:rowOff>
    </xdr:to>
    <xdr:sp>
      <xdr:nvSpPr>
        <xdr:cNvPr id="199" name="Line 211"/>
        <xdr:cNvSpPr>
          <a:spLocks/>
        </xdr:cNvSpPr>
      </xdr:nvSpPr>
      <xdr:spPr>
        <a:xfrm>
          <a:off x="914400" y="143160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61</xdr:row>
      <xdr:rowOff>0</xdr:rowOff>
    </xdr:from>
    <xdr:to>
      <xdr:col>2</xdr:col>
      <xdr:colOff>209550</xdr:colOff>
      <xdr:row>61</xdr:row>
      <xdr:rowOff>0</xdr:rowOff>
    </xdr:to>
    <xdr:sp>
      <xdr:nvSpPr>
        <xdr:cNvPr id="200" name="Line 212"/>
        <xdr:cNvSpPr>
          <a:spLocks/>
        </xdr:cNvSpPr>
      </xdr:nvSpPr>
      <xdr:spPr>
        <a:xfrm>
          <a:off x="914400" y="143160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65</xdr:row>
      <xdr:rowOff>0</xdr:rowOff>
    </xdr:from>
    <xdr:to>
      <xdr:col>5</xdr:col>
      <xdr:colOff>0</xdr:colOff>
      <xdr:row>65</xdr:row>
      <xdr:rowOff>0</xdr:rowOff>
    </xdr:to>
    <xdr:sp>
      <xdr:nvSpPr>
        <xdr:cNvPr id="201" name="Line 213"/>
        <xdr:cNvSpPr>
          <a:spLocks/>
        </xdr:cNvSpPr>
      </xdr:nvSpPr>
      <xdr:spPr>
        <a:xfrm>
          <a:off x="3552825" y="1545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390525</xdr:colOff>
      <xdr:row>65</xdr:row>
      <xdr:rowOff>0</xdr:rowOff>
    </xdr:from>
    <xdr:to>
      <xdr:col>3</xdr:col>
      <xdr:colOff>495300</xdr:colOff>
      <xdr:row>65</xdr:row>
      <xdr:rowOff>0</xdr:rowOff>
    </xdr:to>
    <xdr:sp>
      <xdr:nvSpPr>
        <xdr:cNvPr id="202" name="Line 214"/>
        <xdr:cNvSpPr>
          <a:spLocks/>
        </xdr:cNvSpPr>
      </xdr:nvSpPr>
      <xdr:spPr>
        <a:xfrm>
          <a:off x="2638425" y="1545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65</xdr:row>
      <xdr:rowOff>0</xdr:rowOff>
    </xdr:from>
    <xdr:to>
      <xdr:col>5</xdr:col>
      <xdr:colOff>0</xdr:colOff>
      <xdr:row>65</xdr:row>
      <xdr:rowOff>0</xdr:rowOff>
    </xdr:to>
    <xdr:sp>
      <xdr:nvSpPr>
        <xdr:cNvPr id="203" name="Line 215"/>
        <xdr:cNvSpPr>
          <a:spLocks/>
        </xdr:cNvSpPr>
      </xdr:nvSpPr>
      <xdr:spPr>
        <a:xfrm>
          <a:off x="3552825" y="1545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>
      <xdr:nvSpPr>
        <xdr:cNvPr id="204" name="Line 216"/>
        <xdr:cNvSpPr>
          <a:spLocks/>
        </xdr:cNvSpPr>
      </xdr:nvSpPr>
      <xdr:spPr>
        <a:xfrm>
          <a:off x="3552825" y="1882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390525</xdr:colOff>
      <xdr:row>76</xdr:row>
      <xdr:rowOff>0</xdr:rowOff>
    </xdr:from>
    <xdr:to>
      <xdr:col>3</xdr:col>
      <xdr:colOff>495300</xdr:colOff>
      <xdr:row>76</xdr:row>
      <xdr:rowOff>0</xdr:rowOff>
    </xdr:to>
    <xdr:sp>
      <xdr:nvSpPr>
        <xdr:cNvPr id="205" name="Line 217"/>
        <xdr:cNvSpPr>
          <a:spLocks/>
        </xdr:cNvSpPr>
      </xdr:nvSpPr>
      <xdr:spPr>
        <a:xfrm>
          <a:off x="2638425" y="1882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>
      <xdr:nvSpPr>
        <xdr:cNvPr id="206" name="Line 218"/>
        <xdr:cNvSpPr>
          <a:spLocks/>
        </xdr:cNvSpPr>
      </xdr:nvSpPr>
      <xdr:spPr>
        <a:xfrm>
          <a:off x="3552825" y="1882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90</xdr:row>
      <xdr:rowOff>0</xdr:rowOff>
    </xdr:from>
    <xdr:to>
      <xdr:col>2</xdr:col>
      <xdr:colOff>209550</xdr:colOff>
      <xdr:row>90</xdr:row>
      <xdr:rowOff>0</xdr:rowOff>
    </xdr:to>
    <xdr:sp>
      <xdr:nvSpPr>
        <xdr:cNvPr id="207" name="Line 219"/>
        <xdr:cNvSpPr>
          <a:spLocks/>
        </xdr:cNvSpPr>
      </xdr:nvSpPr>
      <xdr:spPr>
        <a:xfrm>
          <a:off x="914400" y="229076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90</xdr:row>
      <xdr:rowOff>0</xdr:rowOff>
    </xdr:from>
    <xdr:to>
      <xdr:col>2</xdr:col>
      <xdr:colOff>209550</xdr:colOff>
      <xdr:row>90</xdr:row>
      <xdr:rowOff>0</xdr:rowOff>
    </xdr:to>
    <xdr:sp>
      <xdr:nvSpPr>
        <xdr:cNvPr id="208" name="Line 220"/>
        <xdr:cNvSpPr>
          <a:spLocks/>
        </xdr:cNvSpPr>
      </xdr:nvSpPr>
      <xdr:spPr>
        <a:xfrm>
          <a:off x="914400" y="229076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>
      <xdr:nvSpPr>
        <xdr:cNvPr id="209" name="Line 221"/>
        <xdr:cNvSpPr>
          <a:spLocks/>
        </xdr:cNvSpPr>
      </xdr:nvSpPr>
      <xdr:spPr>
        <a:xfrm>
          <a:off x="355282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>
      <xdr:nvSpPr>
        <xdr:cNvPr id="210" name="Line 222"/>
        <xdr:cNvSpPr>
          <a:spLocks/>
        </xdr:cNvSpPr>
      </xdr:nvSpPr>
      <xdr:spPr>
        <a:xfrm>
          <a:off x="355282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65</xdr:row>
      <xdr:rowOff>0</xdr:rowOff>
    </xdr:from>
    <xdr:to>
      <xdr:col>5</xdr:col>
      <xdr:colOff>0</xdr:colOff>
      <xdr:row>65</xdr:row>
      <xdr:rowOff>0</xdr:rowOff>
    </xdr:to>
    <xdr:sp>
      <xdr:nvSpPr>
        <xdr:cNvPr id="211" name="Line 223"/>
        <xdr:cNvSpPr>
          <a:spLocks/>
        </xdr:cNvSpPr>
      </xdr:nvSpPr>
      <xdr:spPr>
        <a:xfrm>
          <a:off x="3552825" y="1545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65</xdr:row>
      <xdr:rowOff>0</xdr:rowOff>
    </xdr:from>
    <xdr:to>
      <xdr:col>5</xdr:col>
      <xdr:colOff>0</xdr:colOff>
      <xdr:row>65</xdr:row>
      <xdr:rowOff>0</xdr:rowOff>
    </xdr:to>
    <xdr:sp>
      <xdr:nvSpPr>
        <xdr:cNvPr id="212" name="Line 224"/>
        <xdr:cNvSpPr>
          <a:spLocks/>
        </xdr:cNvSpPr>
      </xdr:nvSpPr>
      <xdr:spPr>
        <a:xfrm>
          <a:off x="3552825" y="1545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>
      <xdr:nvSpPr>
        <xdr:cNvPr id="213" name="Line 225"/>
        <xdr:cNvSpPr>
          <a:spLocks/>
        </xdr:cNvSpPr>
      </xdr:nvSpPr>
      <xdr:spPr>
        <a:xfrm>
          <a:off x="355282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74</xdr:row>
      <xdr:rowOff>0</xdr:rowOff>
    </xdr:from>
    <xdr:to>
      <xdr:col>2</xdr:col>
      <xdr:colOff>209550</xdr:colOff>
      <xdr:row>74</xdr:row>
      <xdr:rowOff>0</xdr:rowOff>
    </xdr:to>
    <xdr:sp>
      <xdr:nvSpPr>
        <xdr:cNvPr id="214" name="Line 226"/>
        <xdr:cNvSpPr>
          <a:spLocks/>
        </xdr:cNvSpPr>
      </xdr:nvSpPr>
      <xdr:spPr>
        <a:xfrm>
          <a:off x="914400" y="181641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74</xdr:row>
      <xdr:rowOff>0</xdr:rowOff>
    </xdr:from>
    <xdr:to>
      <xdr:col>2</xdr:col>
      <xdr:colOff>209550</xdr:colOff>
      <xdr:row>74</xdr:row>
      <xdr:rowOff>0</xdr:rowOff>
    </xdr:to>
    <xdr:sp>
      <xdr:nvSpPr>
        <xdr:cNvPr id="215" name="Line 227"/>
        <xdr:cNvSpPr>
          <a:spLocks/>
        </xdr:cNvSpPr>
      </xdr:nvSpPr>
      <xdr:spPr>
        <a:xfrm>
          <a:off x="914400" y="181641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27</xdr:row>
      <xdr:rowOff>0</xdr:rowOff>
    </xdr:from>
    <xdr:to>
      <xdr:col>2</xdr:col>
      <xdr:colOff>142875</xdr:colOff>
      <xdr:row>27</xdr:row>
      <xdr:rowOff>0</xdr:rowOff>
    </xdr:to>
    <xdr:sp>
      <xdr:nvSpPr>
        <xdr:cNvPr id="216" name="Line 228"/>
        <xdr:cNvSpPr>
          <a:spLocks/>
        </xdr:cNvSpPr>
      </xdr:nvSpPr>
      <xdr:spPr>
        <a:xfrm>
          <a:off x="876300" y="6591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35</xdr:row>
      <xdr:rowOff>0</xdr:rowOff>
    </xdr:from>
    <xdr:to>
      <xdr:col>2</xdr:col>
      <xdr:colOff>209550</xdr:colOff>
      <xdr:row>35</xdr:row>
      <xdr:rowOff>0</xdr:rowOff>
    </xdr:to>
    <xdr:sp>
      <xdr:nvSpPr>
        <xdr:cNvPr id="217" name="Line 229"/>
        <xdr:cNvSpPr>
          <a:spLocks/>
        </xdr:cNvSpPr>
      </xdr:nvSpPr>
      <xdr:spPr>
        <a:xfrm>
          <a:off x="914400" y="82962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33</xdr:row>
      <xdr:rowOff>0</xdr:rowOff>
    </xdr:from>
    <xdr:to>
      <xdr:col>2</xdr:col>
      <xdr:colOff>133350</xdr:colOff>
      <xdr:row>33</xdr:row>
      <xdr:rowOff>0</xdr:rowOff>
    </xdr:to>
    <xdr:sp>
      <xdr:nvSpPr>
        <xdr:cNvPr id="218" name="Line 230"/>
        <xdr:cNvSpPr>
          <a:spLocks/>
        </xdr:cNvSpPr>
      </xdr:nvSpPr>
      <xdr:spPr>
        <a:xfrm>
          <a:off x="866775" y="7810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51</xdr:row>
      <xdr:rowOff>0</xdr:rowOff>
    </xdr:from>
    <xdr:to>
      <xdr:col>2</xdr:col>
      <xdr:colOff>209550</xdr:colOff>
      <xdr:row>51</xdr:row>
      <xdr:rowOff>0</xdr:rowOff>
    </xdr:to>
    <xdr:sp>
      <xdr:nvSpPr>
        <xdr:cNvPr id="219" name="Line 231"/>
        <xdr:cNvSpPr>
          <a:spLocks/>
        </xdr:cNvSpPr>
      </xdr:nvSpPr>
      <xdr:spPr>
        <a:xfrm>
          <a:off x="914400" y="123825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83</xdr:row>
      <xdr:rowOff>0</xdr:rowOff>
    </xdr:from>
    <xdr:to>
      <xdr:col>2</xdr:col>
      <xdr:colOff>209550</xdr:colOff>
      <xdr:row>83</xdr:row>
      <xdr:rowOff>0</xdr:rowOff>
    </xdr:to>
    <xdr:sp>
      <xdr:nvSpPr>
        <xdr:cNvPr id="220" name="Line 232"/>
        <xdr:cNvSpPr>
          <a:spLocks/>
        </xdr:cNvSpPr>
      </xdr:nvSpPr>
      <xdr:spPr>
        <a:xfrm>
          <a:off x="914400" y="207930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54</xdr:row>
      <xdr:rowOff>0</xdr:rowOff>
    </xdr:from>
    <xdr:to>
      <xdr:col>2</xdr:col>
      <xdr:colOff>209550</xdr:colOff>
      <xdr:row>54</xdr:row>
      <xdr:rowOff>0</xdr:rowOff>
    </xdr:to>
    <xdr:sp>
      <xdr:nvSpPr>
        <xdr:cNvPr id="221" name="Line 233"/>
        <xdr:cNvSpPr>
          <a:spLocks/>
        </xdr:cNvSpPr>
      </xdr:nvSpPr>
      <xdr:spPr>
        <a:xfrm>
          <a:off x="914400" y="132969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222" name="Line 234"/>
        <xdr:cNvSpPr>
          <a:spLocks/>
        </xdr:cNvSpPr>
      </xdr:nvSpPr>
      <xdr:spPr>
        <a:xfrm>
          <a:off x="3552825" y="1360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223" name="Line 235"/>
        <xdr:cNvSpPr>
          <a:spLocks/>
        </xdr:cNvSpPr>
      </xdr:nvSpPr>
      <xdr:spPr>
        <a:xfrm>
          <a:off x="3552825" y="1360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224" name="Line 236"/>
        <xdr:cNvSpPr>
          <a:spLocks/>
        </xdr:cNvSpPr>
      </xdr:nvSpPr>
      <xdr:spPr>
        <a:xfrm>
          <a:off x="3552825" y="1360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225" name="Line 237"/>
        <xdr:cNvSpPr>
          <a:spLocks/>
        </xdr:cNvSpPr>
      </xdr:nvSpPr>
      <xdr:spPr>
        <a:xfrm>
          <a:off x="3552825" y="1360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65</xdr:row>
      <xdr:rowOff>0</xdr:rowOff>
    </xdr:from>
    <xdr:to>
      <xdr:col>5</xdr:col>
      <xdr:colOff>0</xdr:colOff>
      <xdr:row>65</xdr:row>
      <xdr:rowOff>0</xdr:rowOff>
    </xdr:to>
    <xdr:sp>
      <xdr:nvSpPr>
        <xdr:cNvPr id="226" name="Line 238"/>
        <xdr:cNvSpPr>
          <a:spLocks/>
        </xdr:cNvSpPr>
      </xdr:nvSpPr>
      <xdr:spPr>
        <a:xfrm>
          <a:off x="3552825" y="1545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40</xdr:row>
      <xdr:rowOff>0</xdr:rowOff>
    </xdr:from>
    <xdr:to>
      <xdr:col>2</xdr:col>
      <xdr:colOff>142875</xdr:colOff>
      <xdr:row>40</xdr:row>
      <xdr:rowOff>0</xdr:rowOff>
    </xdr:to>
    <xdr:sp>
      <xdr:nvSpPr>
        <xdr:cNvPr id="227" name="Line 239"/>
        <xdr:cNvSpPr>
          <a:spLocks/>
        </xdr:cNvSpPr>
      </xdr:nvSpPr>
      <xdr:spPr>
        <a:xfrm>
          <a:off x="876300" y="9801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91</xdr:row>
      <xdr:rowOff>0</xdr:rowOff>
    </xdr:from>
    <xdr:to>
      <xdr:col>2</xdr:col>
      <xdr:colOff>209550</xdr:colOff>
      <xdr:row>91</xdr:row>
      <xdr:rowOff>0</xdr:rowOff>
    </xdr:to>
    <xdr:sp>
      <xdr:nvSpPr>
        <xdr:cNvPr id="228" name="Line 240"/>
        <xdr:cNvSpPr>
          <a:spLocks/>
        </xdr:cNvSpPr>
      </xdr:nvSpPr>
      <xdr:spPr>
        <a:xfrm>
          <a:off x="914400" y="232314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91</xdr:row>
      <xdr:rowOff>0</xdr:rowOff>
    </xdr:from>
    <xdr:to>
      <xdr:col>2</xdr:col>
      <xdr:colOff>209550</xdr:colOff>
      <xdr:row>91</xdr:row>
      <xdr:rowOff>0</xdr:rowOff>
    </xdr:to>
    <xdr:sp>
      <xdr:nvSpPr>
        <xdr:cNvPr id="229" name="Line 241"/>
        <xdr:cNvSpPr>
          <a:spLocks/>
        </xdr:cNvSpPr>
      </xdr:nvSpPr>
      <xdr:spPr>
        <a:xfrm>
          <a:off x="914400" y="232314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>
      <xdr:nvSpPr>
        <xdr:cNvPr id="230" name="Line 242"/>
        <xdr:cNvSpPr>
          <a:spLocks/>
        </xdr:cNvSpPr>
      </xdr:nvSpPr>
      <xdr:spPr>
        <a:xfrm>
          <a:off x="3552825" y="1882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390525</xdr:colOff>
      <xdr:row>76</xdr:row>
      <xdr:rowOff>0</xdr:rowOff>
    </xdr:from>
    <xdr:to>
      <xdr:col>3</xdr:col>
      <xdr:colOff>495300</xdr:colOff>
      <xdr:row>76</xdr:row>
      <xdr:rowOff>0</xdr:rowOff>
    </xdr:to>
    <xdr:sp>
      <xdr:nvSpPr>
        <xdr:cNvPr id="231" name="Line 243"/>
        <xdr:cNvSpPr>
          <a:spLocks/>
        </xdr:cNvSpPr>
      </xdr:nvSpPr>
      <xdr:spPr>
        <a:xfrm>
          <a:off x="2638425" y="1882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>
      <xdr:nvSpPr>
        <xdr:cNvPr id="232" name="Line 244"/>
        <xdr:cNvSpPr>
          <a:spLocks/>
        </xdr:cNvSpPr>
      </xdr:nvSpPr>
      <xdr:spPr>
        <a:xfrm>
          <a:off x="3552825" y="1882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>
      <xdr:nvSpPr>
        <xdr:cNvPr id="233" name="Line 245"/>
        <xdr:cNvSpPr>
          <a:spLocks/>
        </xdr:cNvSpPr>
      </xdr:nvSpPr>
      <xdr:spPr>
        <a:xfrm>
          <a:off x="3552825" y="1882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>
      <xdr:nvSpPr>
        <xdr:cNvPr id="234" name="Line 246"/>
        <xdr:cNvSpPr>
          <a:spLocks/>
        </xdr:cNvSpPr>
      </xdr:nvSpPr>
      <xdr:spPr>
        <a:xfrm>
          <a:off x="3552825" y="1882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61</xdr:row>
      <xdr:rowOff>0</xdr:rowOff>
    </xdr:from>
    <xdr:to>
      <xdr:col>2</xdr:col>
      <xdr:colOff>209550</xdr:colOff>
      <xdr:row>61</xdr:row>
      <xdr:rowOff>0</xdr:rowOff>
    </xdr:to>
    <xdr:sp>
      <xdr:nvSpPr>
        <xdr:cNvPr id="235" name="Line 247"/>
        <xdr:cNvSpPr>
          <a:spLocks/>
        </xdr:cNvSpPr>
      </xdr:nvSpPr>
      <xdr:spPr>
        <a:xfrm>
          <a:off x="914400" y="143160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65</xdr:row>
      <xdr:rowOff>0</xdr:rowOff>
    </xdr:from>
    <xdr:to>
      <xdr:col>5</xdr:col>
      <xdr:colOff>0</xdr:colOff>
      <xdr:row>65</xdr:row>
      <xdr:rowOff>0</xdr:rowOff>
    </xdr:to>
    <xdr:sp>
      <xdr:nvSpPr>
        <xdr:cNvPr id="236" name="Line 248"/>
        <xdr:cNvSpPr>
          <a:spLocks/>
        </xdr:cNvSpPr>
      </xdr:nvSpPr>
      <xdr:spPr>
        <a:xfrm>
          <a:off x="3552825" y="1545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65</xdr:row>
      <xdr:rowOff>0</xdr:rowOff>
    </xdr:from>
    <xdr:to>
      <xdr:col>5</xdr:col>
      <xdr:colOff>0</xdr:colOff>
      <xdr:row>65</xdr:row>
      <xdr:rowOff>0</xdr:rowOff>
    </xdr:to>
    <xdr:sp>
      <xdr:nvSpPr>
        <xdr:cNvPr id="237" name="Line 249"/>
        <xdr:cNvSpPr>
          <a:spLocks/>
        </xdr:cNvSpPr>
      </xdr:nvSpPr>
      <xdr:spPr>
        <a:xfrm>
          <a:off x="3552825" y="1545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30</xdr:row>
      <xdr:rowOff>0</xdr:rowOff>
    </xdr:from>
    <xdr:to>
      <xdr:col>2</xdr:col>
      <xdr:colOff>142875</xdr:colOff>
      <xdr:row>30</xdr:row>
      <xdr:rowOff>0</xdr:rowOff>
    </xdr:to>
    <xdr:sp>
      <xdr:nvSpPr>
        <xdr:cNvPr id="238" name="Line 250"/>
        <xdr:cNvSpPr>
          <a:spLocks/>
        </xdr:cNvSpPr>
      </xdr:nvSpPr>
      <xdr:spPr>
        <a:xfrm>
          <a:off x="876300" y="72675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68</xdr:row>
      <xdr:rowOff>0</xdr:rowOff>
    </xdr:from>
    <xdr:to>
      <xdr:col>2</xdr:col>
      <xdr:colOff>209550</xdr:colOff>
      <xdr:row>68</xdr:row>
      <xdr:rowOff>0</xdr:rowOff>
    </xdr:to>
    <xdr:sp>
      <xdr:nvSpPr>
        <xdr:cNvPr id="239" name="Line 251"/>
        <xdr:cNvSpPr>
          <a:spLocks/>
        </xdr:cNvSpPr>
      </xdr:nvSpPr>
      <xdr:spPr>
        <a:xfrm>
          <a:off x="914400" y="161163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71</xdr:row>
      <xdr:rowOff>0</xdr:rowOff>
    </xdr:from>
    <xdr:to>
      <xdr:col>2</xdr:col>
      <xdr:colOff>209550</xdr:colOff>
      <xdr:row>71</xdr:row>
      <xdr:rowOff>0</xdr:rowOff>
    </xdr:to>
    <xdr:sp>
      <xdr:nvSpPr>
        <xdr:cNvPr id="240" name="Line 252"/>
        <xdr:cNvSpPr>
          <a:spLocks/>
        </xdr:cNvSpPr>
      </xdr:nvSpPr>
      <xdr:spPr>
        <a:xfrm>
          <a:off x="914400" y="167735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71</xdr:row>
      <xdr:rowOff>0</xdr:rowOff>
    </xdr:from>
    <xdr:to>
      <xdr:col>2</xdr:col>
      <xdr:colOff>209550</xdr:colOff>
      <xdr:row>71</xdr:row>
      <xdr:rowOff>0</xdr:rowOff>
    </xdr:to>
    <xdr:sp>
      <xdr:nvSpPr>
        <xdr:cNvPr id="241" name="Line 253"/>
        <xdr:cNvSpPr>
          <a:spLocks/>
        </xdr:cNvSpPr>
      </xdr:nvSpPr>
      <xdr:spPr>
        <a:xfrm>
          <a:off x="914400" y="167735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71</xdr:row>
      <xdr:rowOff>0</xdr:rowOff>
    </xdr:from>
    <xdr:to>
      <xdr:col>2</xdr:col>
      <xdr:colOff>209550</xdr:colOff>
      <xdr:row>71</xdr:row>
      <xdr:rowOff>0</xdr:rowOff>
    </xdr:to>
    <xdr:sp>
      <xdr:nvSpPr>
        <xdr:cNvPr id="242" name="Line 254"/>
        <xdr:cNvSpPr>
          <a:spLocks/>
        </xdr:cNvSpPr>
      </xdr:nvSpPr>
      <xdr:spPr>
        <a:xfrm>
          <a:off x="914400" y="167735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67</xdr:row>
      <xdr:rowOff>0</xdr:rowOff>
    </xdr:from>
    <xdr:to>
      <xdr:col>2</xdr:col>
      <xdr:colOff>209550</xdr:colOff>
      <xdr:row>67</xdr:row>
      <xdr:rowOff>0</xdr:rowOff>
    </xdr:to>
    <xdr:sp>
      <xdr:nvSpPr>
        <xdr:cNvPr id="243" name="Line 255"/>
        <xdr:cNvSpPr>
          <a:spLocks/>
        </xdr:cNvSpPr>
      </xdr:nvSpPr>
      <xdr:spPr>
        <a:xfrm>
          <a:off x="914400" y="159353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68</xdr:row>
      <xdr:rowOff>0</xdr:rowOff>
    </xdr:from>
    <xdr:to>
      <xdr:col>2</xdr:col>
      <xdr:colOff>209550</xdr:colOff>
      <xdr:row>68</xdr:row>
      <xdr:rowOff>0</xdr:rowOff>
    </xdr:to>
    <xdr:sp>
      <xdr:nvSpPr>
        <xdr:cNvPr id="244" name="Line 256"/>
        <xdr:cNvSpPr>
          <a:spLocks/>
        </xdr:cNvSpPr>
      </xdr:nvSpPr>
      <xdr:spPr>
        <a:xfrm>
          <a:off x="914400" y="161163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71</xdr:row>
      <xdr:rowOff>0</xdr:rowOff>
    </xdr:from>
    <xdr:to>
      <xdr:col>2</xdr:col>
      <xdr:colOff>209550</xdr:colOff>
      <xdr:row>71</xdr:row>
      <xdr:rowOff>0</xdr:rowOff>
    </xdr:to>
    <xdr:sp>
      <xdr:nvSpPr>
        <xdr:cNvPr id="245" name="Line 257"/>
        <xdr:cNvSpPr>
          <a:spLocks/>
        </xdr:cNvSpPr>
      </xdr:nvSpPr>
      <xdr:spPr>
        <a:xfrm>
          <a:off x="914400" y="167735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71</xdr:row>
      <xdr:rowOff>0</xdr:rowOff>
    </xdr:from>
    <xdr:to>
      <xdr:col>2</xdr:col>
      <xdr:colOff>209550</xdr:colOff>
      <xdr:row>71</xdr:row>
      <xdr:rowOff>0</xdr:rowOff>
    </xdr:to>
    <xdr:sp>
      <xdr:nvSpPr>
        <xdr:cNvPr id="246" name="Line 258"/>
        <xdr:cNvSpPr>
          <a:spLocks/>
        </xdr:cNvSpPr>
      </xdr:nvSpPr>
      <xdr:spPr>
        <a:xfrm>
          <a:off x="914400" y="167735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71</xdr:row>
      <xdr:rowOff>0</xdr:rowOff>
    </xdr:from>
    <xdr:to>
      <xdr:col>2</xdr:col>
      <xdr:colOff>209550</xdr:colOff>
      <xdr:row>71</xdr:row>
      <xdr:rowOff>0</xdr:rowOff>
    </xdr:to>
    <xdr:sp>
      <xdr:nvSpPr>
        <xdr:cNvPr id="247" name="Line 259"/>
        <xdr:cNvSpPr>
          <a:spLocks/>
        </xdr:cNvSpPr>
      </xdr:nvSpPr>
      <xdr:spPr>
        <a:xfrm>
          <a:off x="914400" y="167735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48" name="Line 260"/>
        <xdr:cNvSpPr>
          <a:spLocks/>
        </xdr:cNvSpPr>
      </xdr:nvSpPr>
      <xdr:spPr>
        <a:xfrm>
          <a:off x="3552825" y="1769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390525</xdr:colOff>
      <xdr:row>73</xdr:row>
      <xdr:rowOff>0</xdr:rowOff>
    </xdr:from>
    <xdr:to>
      <xdr:col>3</xdr:col>
      <xdr:colOff>495300</xdr:colOff>
      <xdr:row>73</xdr:row>
      <xdr:rowOff>0</xdr:rowOff>
    </xdr:to>
    <xdr:sp>
      <xdr:nvSpPr>
        <xdr:cNvPr id="249" name="Line 261"/>
        <xdr:cNvSpPr>
          <a:spLocks/>
        </xdr:cNvSpPr>
      </xdr:nvSpPr>
      <xdr:spPr>
        <a:xfrm>
          <a:off x="2638425" y="1769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50" name="Line 262"/>
        <xdr:cNvSpPr>
          <a:spLocks/>
        </xdr:cNvSpPr>
      </xdr:nvSpPr>
      <xdr:spPr>
        <a:xfrm>
          <a:off x="3552825" y="1769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69</xdr:row>
      <xdr:rowOff>0</xdr:rowOff>
    </xdr:from>
    <xdr:to>
      <xdr:col>2</xdr:col>
      <xdr:colOff>209550</xdr:colOff>
      <xdr:row>69</xdr:row>
      <xdr:rowOff>0</xdr:rowOff>
    </xdr:to>
    <xdr:sp>
      <xdr:nvSpPr>
        <xdr:cNvPr id="251" name="Line 263"/>
        <xdr:cNvSpPr>
          <a:spLocks/>
        </xdr:cNvSpPr>
      </xdr:nvSpPr>
      <xdr:spPr>
        <a:xfrm>
          <a:off x="914400" y="162972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69</xdr:row>
      <xdr:rowOff>0</xdr:rowOff>
    </xdr:from>
    <xdr:to>
      <xdr:col>2</xdr:col>
      <xdr:colOff>209550</xdr:colOff>
      <xdr:row>69</xdr:row>
      <xdr:rowOff>0</xdr:rowOff>
    </xdr:to>
    <xdr:sp>
      <xdr:nvSpPr>
        <xdr:cNvPr id="252" name="Line 264"/>
        <xdr:cNvSpPr>
          <a:spLocks/>
        </xdr:cNvSpPr>
      </xdr:nvSpPr>
      <xdr:spPr>
        <a:xfrm>
          <a:off x="914400" y="162972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0</xdr:colOff>
      <xdr:row>71</xdr:row>
      <xdr:rowOff>0</xdr:rowOff>
    </xdr:to>
    <xdr:sp>
      <xdr:nvSpPr>
        <xdr:cNvPr id="253" name="Line 265"/>
        <xdr:cNvSpPr>
          <a:spLocks/>
        </xdr:cNvSpPr>
      </xdr:nvSpPr>
      <xdr:spPr>
        <a:xfrm>
          <a:off x="3552825" y="1677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390525</xdr:colOff>
      <xdr:row>71</xdr:row>
      <xdr:rowOff>0</xdr:rowOff>
    </xdr:from>
    <xdr:to>
      <xdr:col>3</xdr:col>
      <xdr:colOff>495300</xdr:colOff>
      <xdr:row>71</xdr:row>
      <xdr:rowOff>0</xdr:rowOff>
    </xdr:to>
    <xdr:sp>
      <xdr:nvSpPr>
        <xdr:cNvPr id="254" name="Line 266"/>
        <xdr:cNvSpPr>
          <a:spLocks/>
        </xdr:cNvSpPr>
      </xdr:nvSpPr>
      <xdr:spPr>
        <a:xfrm>
          <a:off x="2638425" y="1677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0</xdr:colOff>
      <xdr:row>71</xdr:row>
      <xdr:rowOff>0</xdr:rowOff>
    </xdr:to>
    <xdr:sp>
      <xdr:nvSpPr>
        <xdr:cNvPr id="255" name="Line 267"/>
        <xdr:cNvSpPr>
          <a:spLocks/>
        </xdr:cNvSpPr>
      </xdr:nvSpPr>
      <xdr:spPr>
        <a:xfrm>
          <a:off x="3552825" y="1677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0</xdr:colOff>
      <xdr:row>71</xdr:row>
      <xdr:rowOff>0</xdr:rowOff>
    </xdr:to>
    <xdr:sp>
      <xdr:nvSpPr>
        <xdr:cNvPr id="256" name="Line 268"/>
        <xdr:cNvSpPr>
          <a:spLocks/>
        </xdr:cNvSpPr>
      </xdr:nvSpPr>
      <xdr:spPr>
        <a:xfrm>
          <a:off x="3552825" y="1677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0</xdr:colOff>
      <xdr:row>71</xdr:row>
      <xdr:rowOff>0</xdr:rowOff>
    </xdr:to>
    <xdr:sp>
      <xdr:nvSpPr>
        <xdr:cNvPr id="257" name="Line 269"/>
        <xdr:cNvSpPr>
          <a:spLocks/>
        </xdr:cNvSpPr>
      </xdr:nvSpPr>
      <xdr:spPr>
        <a:xfrm>
          <a:off x="3552825" y="1677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390525</xdr:colOff>
      <xdr:row>71</xdr:row>
      <xdr:rowOff>0</xdr:rowOff>
    </xdr:from>
    <xdr:to>
      <xdr:col>4</xdr:col>
      <xdr:colOff>504825</xdr:colOff>
      <xdr:row>71</xdr:row>
      <xdr:rowOff>0</xdr:rowOff>
    </xdr:to>
    <xdr:sp>
      <xdr:nvSpPr>
        <xdr:cNvPr id="258" name="Line 270"/>
        <xdr:cNvSpPr>
          <a:spLocks/>
        </xdr:cNvSpPr>
      </xdr:nvSpPr>
      <xdr:spPr>
        <a:xfrm>
          <a:off x="3028950" y="167735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0</xdr:colOff>
      <xdr:row>71</xdr:row>
      <xdr:rowOff>0</xdr:rowOff>
    </xdr:to>
    <xdr:sp>
      <xdr:nvSpPr>
        <xdr:cNvPr id="259" name="Line 271"/>
        <xdr:cNvSpPr>
          <a:spLocks/>
        </xdr:cNvSpPr>
      </xdr:nvSpPr>
      <xdr:spPr>
        <a:xfrm>
          <a:off x="3552825" y="1677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0</xdr:colOff>
      <xdr:row>71</xdr:row>
      <xdr:rowOff>0</xdr:rowOff>
    </xdr:to>
    <xdr:sp>
      <xdr:nvSpPr>
        <xdr:cNvPr id="260" name="Line 272"/>
        <xdr:cNvSpPr>
          <a:spLocks/>
        </xdr:cNvSpPr>
      </xdr:nvSpPr>
      <xdr:spPr>
        <a:xfrm>
          <a:off x="3552825" y="1677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32</xdr:row>
      <xdr:rowOff>0</xdr:rowOff>
    </xdr:from>
    <xdr:to>
      <xdr:col>2</xdr:col>
      <xdr:colOff>133350</xdr:colOff>
      <xdr:row>32</xdr:row>
      <xdr:rowOff>0</xdr:rowOff>
    </xdr:to>
    <xdr:sp>
      <xdr:nvSpPr>
        <xdr:cNvPr id="261" name="Line 273"/>
        <xdr:cNvSpPr>
          <a:spLocks/>
        </xdr:cNvSpPr>
      </xdr:nvSpPr>
      <xdr:spPr>
        <a:xfrm>
          <a:off x="866775" y="76295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67</xdr:row>
      <xdr:rowOff>0</xdr:rowOff>
    </xdr:from>
    <xdr:to>
      <xdr:col>2</xdr:col>
      <xdr:colOff>209550</xdr:colOff>
      <xdr:row>67</xdr:row>
      <xdr:rowOff>0</xdr:rowOff>
    </xdr:to>
    <xdr:sp>
      <xdr:nvSpPr>
        <xdr:cNvPr id="262" name="Line 274"/>
        <xdr:cNvSpPr>
          <a:spLocks/>
        </xdr:cNvSpPr>
      </xdr:nvSpPr>
      <xdr:spPr>
        <a:xfrm>
          <a:off x="914400" y="159353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72</xdr:row>
      <xdr:rowOff>0</xdr:rowOff>
    </xdr:from>
    <xdr:to>
      <xdr:col>5</xdr:col>
      <xdr:colOff>0</xdr:colOff>
      <xdr:row>72</xdr:row>
      <xdr:rowOff>0</xdr:rowOff>
    </xdr:to>
    <xdr:sp>
      <xdr:nvSpPr>
        <xdr:cNvPr id="263" name="Line 275"/>
        <xdr:cNvSpPr>
          <a:spLocks/>
        </xdr:cNvSpPr>
      </xdr:nvSpPr>
      <xdr:spPr>
        <a:xfrm>
          <a:off x="3552825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390525</xdr:colOff>
      <xdr:row>72</xdr:row>
      <xdr:rowOff>0</xdr:rowOff>
    </xdr:from>
    <xdr:to>
      <xdr:col>3</xdr:col>
      <xdr:colOff>495300</xdr:colOff>
      <xdr:row>72</xdr:row>
      <xdr:rowOff>0</xdr:rowOff>
    </xdr:to>
    <xdr:sp>
      <xdr:nvSpPr>
        <xdr:cNvPr id="264" name="Line 276"/>
        <xdr:cNvSpPr>
          <a:spLocks/>
        </xdr:cNvSpPr>
      </xdr:nvSpPr>
      <xdr:spPr>
        <a:xfrm>
          <a:off x="2638425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72</xdr:row>
      <xdr:rowOff>0</xdr:rowOff>
    </xdr:from>
    <xdr:to>
      <xdr:col>5</xdr:col>
      <xdr:colOff>0</xdr:colOff>
      <xdr:row>72</xdr:row>
      <xdr:rowOff>0</xdr:rowOff>
    </xdr:to>
    <xdr:sp>
      <xdr:nvSpPr>
        <xdr:cNvPr id="265" name="Line 277"/>
        <xdr:cNvSpPr>
          <a:spLocks/>
        </xdr:cNvSpPr>
      </xdr:nvSpPr>
      <xdr:spPr>
        <a:xfrm>
          <a:off x="3552825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73</xdr:row>
      <xdr:rowOff>0</xdr:rowOff>
    </xdr:from>
    <xdr:to>
      <xdr:col>2</xdr:col>
      <xdr:colOff>209550</xdr:colOff>
      <xdr:row>73</xdr:row>
      <xdr:rowOff>0</xdr:rowOff>
    </xdr:to>
    <xdr:sp>
      <xdr:nvSpPr>
        <xdr:cNvPr id="266" name="Line 278"/>
        <xdr:cNvSpPr>
          <a:spLocks/>
        </xdr:cNvSpPr>
      </xdr:nvSpPr>
      <xdr:spPr>
        <a:xfrm>
          <a:off x="914400" y="176974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55</xdr:row>
      <xdr:rowOff>0</xdr:rowOff>
    </xdr:from>
    <xdr:to>
      <xdr:col>2</xdr:col>
      <xdr:colOff>209550</xdr:colOff>
      <xdr:row>55</xdr:row>
      <xdr:rowOff>0</xdr:rowOff>
    </xdr:to>
    <xdr:sp>
      <xdr:nvSpPr>
        <xdr:cNvPr id="267" name="Line 279"/>
        <xdr:cNvSpPr>
          <a:spLocks/>
        </xdr:cNvSpPr>
      </xdr:nvSpPr>
      <xdr:spPr>
        <a:xfrm>
          <a:off x="914400" y="136017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</xdr:colOff>
      <xdr:row>13</xdr:row>
      <xdr:rowOff>0</xdr:rowOff>
    </xdr:from>
    <xdr:to>
      <xdr:col>2</xdr:col>
      <xdr:colOff>200025</xdr:colOff>
      <xdr:row>13</xdr:row>
      <xdr:rowOff>0</xdr:rowOff>
    </xdr:to>
    <xdr:sp>
      <xdr:nvSpPr>
        <xdr:cNvPr id="268" name="Line 280"/>
        <xdr:cNvSpPr>
          <a:spLocks/>
        </xdr:cNvSpPr>
      </xdr:nvSpPr>
      <xdr:spPr>
        <a:xfrm>
          <a:off x="895350" y="32289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22</xdr:row>
      <xdr:rowOff>0</xdr:rowOff>
    </xdr:from>
    <xdr:to>
      <xdr:col>2</xdr:col>
      <xdr:colOff>142875</xdr:colOff>
      <xdr:row>22</xdr:row>
      <xdr:rowOff>0</xdr:rowOff>
    </xdr:to>
    <xdr:sp>
      <xdr:nvSpPr>
        <xdr:cNvPr id="269" name="Line 281"/>
        <xdr:cNvSpPr>
          <a:spLocks/>
        </xdr:cNvSpPr>
      </xdr:nvSpPr>
      <xdr:spPr>
        <a:xfrm>
          <a:off x="876300" y="53244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35</xdr:row>
      <xdr:rowOff>0</xdr:rowOff>
    </xdr:from>
    <xdr:to>
      <xdr:col>2</xdr:col>
      <xdr:colOff>142875</xdr:colOff>
      <xdr:row>35</xdr:row>
      <xdr:rowOff>0</xdr:rowOff>
    </xdr:to>
    <xdr:sp>
      <xdr:nvSpPr>
        <xdr:cNvPr id="270" name="Line 282"/>
        <xdr:cNvSpPr>
          <a:spLocks/>
        </xdr:cNvSpPr>
      </xdr:nvSpPr>
      <xdr:spPr>
        <a:xfrm>
          <a:off x="876300" y="82962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65</xdr:row>
      <xdr:rowOff>0</xdr:rowOff>
    </xdr:from>
    <xdr:to>
      <xdr:col>2</xdr:col>
      <xdr:colOff>142875</xdr:colOff>
      <xdr:row>65</xdr:row>
      <xdr:rowOff>0</xdr:rowOff>
    </xdr:to>
    <xdr:sp>
      <xdr:nvSpPr>
        <xdr:cNvPr id="271" name="Line 284"/>
        <xdr:cNvSpPr>
          <a:spLocks/>
        </xdr:cNvSpPr>
      </xdr:nvSpPr>
      <xdr:spPr>
        <a:xfrm>
          <a:off x="876300" y="154590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65</xdr:row>
      <xdr:rowOff>0</xdr:rowOff>
    </xdr:from>
    <xdr:to>
      <xdr:col>2</xdr:col>
      <xdr:colOff>142875</xdr:colOff>
      <xdr:row>65</xdr:row>
      <xdr:rowOff>0</xdr:rowOff>
    </xdr:to>
    <xdr:sp>
      <xdr:nvSpPr>
        <xdr:cNvPr id="272" name="Line 285"/>
        <xdr:cNvSpPr>
          <a:spLocks/>
        </xdr:cNvSpPr>
      </xdr:nvSpPr>
      <xdr:spPr>
        <a:xfrm>
          <a:off x="876300" y="154590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72</xdr:row>
      <xdr:rowOff>0</xdr:rowOff>
    </xdr:from>
    <xdr:to>
      <xdr:col>2</xdr:col>
      <xdr:colOff>209550</xdr:colOff>
      <xdr:row>72</xdr:row>
      <xdr:rowOff>0</xdr:rowOff>
    </xdr:to>
    <xdr:sp>
      <xdr:nvSpPr>
        <xdr:cNvPr id="273" name="Line 286"/>
        <xdr:cNvSpPr>
          <a:spLocks/>
        </xdr:cNvSpPr>
      </xdr:nvSpPr>
      <xdr:spPr>
        <a:xfrm>
          <a:off x="914400" y="175355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74</xdr:row>
      <xdr:rowOff>0</xdr:rowOff>
    </xdr:from>
    <xdr:to>
      <xdr:col>2</xdr:col>
      <xdr:colOff>209550</xdr:colOff>
      <xdr:row>74</xdr:row>
      <xdr:rowOff>0</xdr:rowOff>
    </xdr:to>
    <xdr:sp>
      <xdr:nvSpPr>
        <xdr:cNvPr id="274" name="Line 287"/>
        <xdr:cNvSpPr>
          <a:spLocks/>
        </xdr:cNvSpPr>
      </xdr:nvSpPr>
      <xdr:spPr>
        <a:xfrm>
          <a:off x="914400" y="181641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74</xdr:row>
      <xdr:rowOff>0</xdr:rowOff>
    </xdr:from>
    <xdr:to>
      <xdr:col>2</xdr:col>
      <xdr:colOff>209550</xdr:colOff>
      <xdr:row>74</xdr:row>
      <xdr:rowOff>0</xdr:rowOff>
    </xdr:to>
    <xdr:sp>
      <xdr:nvSpPr>
        <xdr:cNvPr id="275" name="Line 288"/>
        <xdr:cNvSpPr>
          <a:spLocks/>
        </xdr:cNvSpPr>
      </xdr:nvSpPr>
      <xdr:spPr>
        <a:xfrm>
          <a:off x="914400" y="181641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90</xdr:row>
      <xdr:rowOff>0</xdr:rowOff>
    </xdr:from>
    <xdr:to>
      <xdr:col>2</xdr:col>
      <xdr:colOff>209550</xdr:colOff>
      <xdr:row>90</xdr:row>
      <xdr:rowOff>0</xdr:rowOff>
    </xdr:to>
    <xdr:sp>
      <xdr:nvSpPr>
        <xdr:cNvPr id="276" name="Line 289"/>
        <xdr:cNvSpPr>
          <a:spLocks/>
        </xdr:cNvSpPr>
      </xdr:nvSpPr>
      <xdr:spPr>
        <a:xfrm>
          <a:off x="914400" y="229076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90</xdr:row>
      <xdr:rowOff>0</xdr:rowOff>
    </xdr:from>
    <xdr:to>
      <xdr:col>2</xdr:col>
      <xdr:colOff>209550</xdr:colOff>
      <xdr:row>90</xdr:row>
      <xdr:rowOff>0</xdr:rowOff>
    </xdr:to>
    <xdr:sp>
      <xdr:nvSpPr>
        <xdr:cNvPr id="277" name="Line 290"/>
        <xdr:cNvSpPr>
          <a:spLocks/>
        </xdr:cNvSpPr>
      </xdr:nvSpPr>
      <xdr:spPr>
        <a:xfrm>
          <a:off x="914400" y="229076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92</xdr:row>
      <xdr:rowOff>0</xdr:rowOff>
    </xdr:from>
    <xdr:to>
      <xdr:col>2</xdr:col>
      <xdr:colOff>209550</xdr:colOff>
      <xdr:row>92</xdr:row>
      <xdr:rowOff>0</xdr:rowOff>
    </xdr:to>
    <xdr:sp>
      <xdr:nvSpPr>
        <xdr:cNvPr id="278" name="Line 291"/>
        <xdr:cNvSpPr>
          <a:spLocks/>
        </xdr:cNvSpPr>
      </xdr:nvSpPr>
      <xdr:spPr>
        <a:xfrm>
          <a:off x="914400" y="234124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92</xdr:row>
      <xdr:rowOff>0</xdr:rowOff>
    </xdr:from>
    <xdr:to>
      <xdr:col>2</xdr:col>
      <xdr:colOff>209550</xdr:colOff>
      <xdr:row>92</xdr:row>
      <xdr:rowOff>0</xdr:rowOff>
    </xdr:to>
    <xdr:sp>
      <xdr:nvSpPr>
        <xdr:cNvPr id="279" name="Line 292"/>
        <xdr:cNvSpPr>
          <a:spLocks/>
        </xdr:cNvSpPr>
      </xdr:nvSpPr>
      <xdr:spPr>
        <a:xfrm>
          <a:off x="914400" y="234124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76</xdr:row>
      <xdr:rowOff>0</xdr:rowOff>
    </xdr:from>
    <xdr:to>
      <xdr:col>2</xdr:col>
      <xdr:colOff>209550</xdr:colOff>
      <xdr:row>76</xdr:row>
      <xdr:rowOff>0</xdr:rowOff>
    </xdr:to>
    <xdr:sp>
      <xdr:nvSpPr>
        <xdr:cNvPr id="280" name="Line 293"/>
        <xdr:cNvSpPr>
          <a:spLocks/>
        </xdr:cNvSpPr>
      </xdr:nvSpPr>
      <xdr:spPr>
        <a:xfrm>
          <a:off x="914400" y="188214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92</xdr:row>
      <xdr:rowOff>0</xdr:rowOff>
    </xdr:from>
    <xdr:to>
      <xdr:col>2</xdr:col>
      <xdr:colOff>209550</xdr:colOff>
      <xdr:row>92</xdr:row>
      <xdr:rowOff>0</xdr:rowOff>
    </xdr:to>
    <xdr:sp>
      <xdr:nvSpPr>
        <xdr:cNvPr id="281" name="Line 294"/>
        <xdr:cNvSpPr>
          <a:spLocks/>
        </xdr:cNvSpPr>
      </xdr:nvSpPr>
      <xdr:spPr>
        <a:xfrm>
          <a:off x="914400" y="234124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55</xdr:row>
      <xdr:rowOff>0</xdr:rowOff>
    </xdr:from>
    <xdr:to>
      <xdr:col>2</xdr:col>
      <xdr:colOff>209550</xdr:colOff>
      <xdr:row>55</xdr:row>
      <xdr:rowOff>0</xdr:rowOff>
    </xdr:to>
    <xdr:sp>
      <xdr:nvSpPr>
        <xdr:cNvPr id="282" name="Line 295"/>
        <xdr:cNvSpPr>
          <a:spLocks/>
        </xdr:cNvSpPr>
      </xdr:nvSpPr>
      <xdr:spPr>
        <a:xfrm>
          <a:off x="914400" y="136017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57</xdr:row>
      <xdr:rowOff>0</xdr:rowOff>
    </xdr:from>
    <xdr:to>
      <xdr:col>2</xdr:col>
      <xdr:colOff>209550</xdr:colOff>
      <xdr:row>57</xdr:row>
      <xdr:rowOff>0</xdr:rowOff>
    </xdr:to>
    <xdr:sp>
      <xdr:nvSpPr>
        <xdr:cNvPr id="283" name="Line 296"/>
        <xdr:cNvSpPr>
          <a:spLocks/>
        </xdr:cNvSpPr>
      </xdr:nvSpPr>
      <xdr:spPr>
        <a:xfrm>
          <a:off x="914400" y="139255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43</xdr:row>
      <xdr:rowOff>0</xdr:rowOff>
    </xdr:from>
    <xdr:to>
      <xdr:col>2</xdr:col>
      <xdr:colOff>142875</xdr:colOff>
      <xdr:row>43</xdr:row>
      <xdr:rowOff>0</xdr:rowOff>
    </xdr:to>
    <xdr:sp>
      <xdr:nvSpPr>
        <xdr:cNvPr id="284" name="Line 297"/>
        <xdr:cNvSpPr>
          <a:spLocks/>
        </xdr:cNvSpPr>
      </xdr:nvSpPr>
      <xdr:spPr>
        <a:xfrm>
          <a:off x="876300" y="10782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123825</xdr:colOff>
      <xdr:row>93</xdr:row>
      <xdr:rowOff>0</xdr:rowOff>
    </xdr:from>
    <xdr:to>
      <xdr:col>2</xdr:col>
      <xdr:colOff>219075</xdr:colOff>
      <xdr:row>93</xdr:row>
      <xdr:rowOff>0</xdr:rowOff>
    </xdr:to>
    <xdr:sp>
      <xdr:nvSpPr>
        <xdr:cNvPr id="285" name="Line 299"/>
        <xdr:cNvSpPr>
          <a:spLocks/>
        </xdr:cNvSpPr>
      </xdr:nvSpPr>
      <xdr:spPr>
        <a:xfrm>
          <a:off x="933450" y="236505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123825</xdr:colOff>
      <xdr:row>93</xdr:row>
      <xdr:rowOff>0</xdr:rowOff>
    </xdr:from>
    <xdr:to>
      <xdr:col>2</xdr:col>
      <xdr:colOff>219075</xdr:colOff>
      <xdr:row>93</xdr:row>
      <xdr:rowOff>0</xdr:rowOff>
    </xdr:to>
    <xdr:sp>
      <xdr:nvSpPr>
        <xdr:cNvPr id="286" name="Line 300"/>
        <xdr:cNvSpPr>
          <a:spLocks/>
        </xdr:cNvSpPr>
      </xdr:nvSpPr>
      <xdr:spPr>
        <a:xfrm>
          <a:off x="933450" y="236505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123825</xdr:colOff>
      <xdr:row>93</xdr:row>
      <xdr:rowOff>0</xdr:rowOff>
    </xdr:from>
    <xdr:to>
      <xdr:col>2</xdr:col>
      <xdr:colOff>219075</xdr:colOff>
      <xdr:row>93</xdr:row>
      <xdr:rowOff>0</xdr:rowOff>
    </xdr:to>
    <xdr:sp>
      <xdr:nvSpPr>
        <xdr:cNvPr id="287" name="Line 301"/>
        <xdr:cNvSpPr>
          <a:spLocks/>
        </xdr:cNvSpPr>
      </xdr:nvSpPr>
      <xdr:spPr>
        <a:xfrm>
          <a:off x="933450" y="236505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34</xdr:row>
      <xdr:rowOff>0</xdr:rowOff>
    </xdr:from>
    <xdr:to>
      <xdr:col>2</xdr:col>
      <xdr:colOff>209550</xdr:colOff>
      <xdr:row>34</xdr:row>
      <xdr:rowOff>0</xdr:rowOff>
    </xdr:to>
    <xdr:sp>
      <xdr:nvSpPr>
        <xdr:cNvPr id="288" name="Line 302"/>
        <xdr:cNvSpPr>
          <a:spLocks/>
        </xdr:cNvSpPr>
      </xdr:nvSpPr>
      <xdr:spPr>
        <a:xfrm>
          <a:off x="914400" y="81153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35</xdr:row>
      <xdr:rowOff>0</xdr:rowOff>
    </xdr:from>
    <xdr:to>
      <xdr:col>2</xdr:col>
      <xdr:colOff>142875</xdr:colOff>
      <xdr:row>35</xdr:row>
      <xdr:rowOff>0</xdr:rowOff>
    </xdr:to>
    <xdr:sp>
      <xdr:nvSpPr>
        <xdr:cNvPr id="289" name="Line 303"/>
        <xdr:cNvSpPr>
          <a:spLocks/>
        </xdr:cNvSpPr>
      </xdr:nvSpPr>
      <xdr:spPr>
        <a:xfrm>
          <a:off x="876300" y="82962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31</xdr:row>
      <xdr:rowOff>0</xdr:rowOff>
    </xdr:from>
    <xdr:to>
      <xdr:col>2</xdr:col>
      <xdr:colOff>209550</xdr:colOff>
      <xdr:row>31</xdr:row>
      <xdr:rowOff>0</xdr:rowOff>
    </xdr:to>
    <xdr:sp>
      <xdr:nvSpPr>
        <xdr:cNvPr id="290" name="Line 306"/>
        <xdr:cNvSpPr>
          <a:spLocks/>
        </xdr:cNvSpPr>
      </xdr:nvSpPr>
      <xdr:spPr>
        <a:xfrm>
          <a:off x="914400" y="74485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49</xdr:row>
      <xdr:rowOff>0</xdr:rowOff>
    </xdr:from>
    <xdr:to>
      <xdr:col>2</xdr:col>
      <xdr:colOff>209550</xdr:colOff>
      <xdr:row>49</xdr:row>
      <xdr:rowOff>0</xdr:rowOff>
    </xdr:to>
    <xdr:sp>
      <xdr:nvSpPr>
        <xdr:cNvPr id="291" name="Line 310"/>
        <xdr:cNvSpPr>
          <a:spLocks/>
        </xdr:cNvSpPr>
      </xdr:nvSpPr>
      <xdr:spPr>
        <a:xfrm>
          <a:off x="914400" y="120205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85</xdr:row>
      <xdr:rowOff>0</xdr:rowOff>
    </xdr:from>
    <xdr:to>
      <xdr:col>2</xdr:col>
      <xdr:colOff>209550</xdr:colOff>
      <xdr:row>85</xdr:row>
      <xdr:rowOff>0</xdr:rowOff>
    </xdr:to>
    <xdr:sp>
      <xdr:nvSpPr>
        <xdr:cNvPr id="292" name="Line 311"/>
        <xdr:cNvSpPr>
          <a:spLocks/>
        </xdr:cNvSpPr>
      </xdr:nvSpPr>
      <xdr:spPr>
        <a:xfrm>
          <a:off x="914400" y="213931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84</xdr:row>
      <xdr:rowOff>0</xdr:rowOff>
    </xdr:from>
    <xdr:to>
      <xdr:col>2</xdr:col>
      <xdr:colOff>209550</xdr:colOff>
      <xdr:row>84</xdr:row>
      <xdr:rowOff>0</xdr:rowOff>
    </xdr:to>
    <xdr:sp>
      <xdr:nvSpPr>
        <xdr:cNvPr id="293" name="Line 312"/>
        <xdr:cNvSpPr>
          <a:spLocks/>
        </xdr:cNvSpPr>
      </xdr:nvSpPr>
      <xdr:spPr>
        <a:xfrm>
          <a:off x="914400" y="211074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57</xdr:row>
      <xdr:rowOff>0</xdr:rowOff>
    </xdr:from>
    <xdr:to>
      <xdr:col>5</xdr:col>
      <xdr:colOff>0</xdr:colOff>
      <xdr:row>57</xdr:row>
      <xdr:rowOff>0</xdr:rowOff>
    </xdr:to>
    <xdr:sp>
      <xdr:nvSpPr>
        <xdr:cNvPr id="294" name="Line 313"/>
        <xdr:cNvSpPr>
          <a:spLocks/>
        </xdr:cNvSpPr>
      </xdr:nvSpPr>
      <xdr:spPr>
        <a:xfrm>
          <a:off x="3552825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57</xdr:row>
      <xdr:rowOff>0</xdr:rowOff>
    </xdr:from>
    <xdr:to>
      <xdr:col>2</xdr:col>
      <xdr:colOff>209550</xdr:colOff>
      <xdr:row>57</xdr:row>
      <xdr:rowOff>0</xdr:rowOff>
    </xdr:to>
    <xdr:sp>
      <xdr:nvSpPr>
        <xdr:cNvPr id="295" name="Line 314"/>
        <xdr:cNvSpPr>
          <a:spLocks/>
        </xdr:cNvSpPr>
      </xdr:nvSpPr>
      <xdr:spPr>
        <a:xfrm>
          <a:off x="914400" y="139255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85</xdr:row>
      <xdr:rowOff>0</xdr:rowOff>
    </xdr:from>
    <xdr:to>
      <xdr:col>2</xdr:col>
      <xdr:colOff>209550</xdr:colOff>
      <xdr:row>85</xdr:row>
      <xdr:rowOff>0</xdr:rowOff>
    </xdr:to>
    <xdr:sp>
      <xdr:nvSpPr>
        <xdr:cNvPr id="296" name="Line 315"/>
        <xdr:cNvSpPr>
          <a:spLocks/>
        </xdr:cNvSpPr>
      </xdr:nvSpPr>
      <xdr:spPr>
        <a:xfrm>
          <a:off x="914400" y="213931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59</xdr:row>
      <xdr:rowOff>0</xdr:rowOff>
    </xdr:from>
    <xdr:to>
      <xdr:col>2</xdr:col>
      <xdr:colOff>209550</xdr:colOff>
      <xdr:row>59</xdr:row>
      <xdr:rowOff>0</xdr:rowOff>
    </xdr:to>
    <xdr:sp>
      <xdr:nvSpPr>
        <xdr:cNvPr id="297" name="Line 316"/>
        <xdr:cNvSpPr>
          <a:spLocks/>
        </xdr:cNvSpPr>
      </xdr:nvSpPr>
      <xdr:spPr>
        <a:xfrm>
          <a:off x="914400" y="139255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59</xdr:row>
      <xdr:rowOff>0</xdr:rowOff>
    </xdr:from>
    <xdr:to>
      <xdr:col>2</xdr:col>
      <xdr:colOff>209550</xdr:colOff>
      <xdr:row>59</xdr:row>
      <xdr:rowOff>0</xdr:rowOff>
    </xdr:to>
    <xdr:sp>
      <xdr:nvSpPr>
        <xdr:cNvPr id="298" name="Line 317"/>
        <xdr:cNvSpPr>
          <a:spLocks/>
        </xdr:cNvSpPr>
      </xdr:nvSpPr>
      <xdr:spPr>
        <a:xfrm>
          <a:off x="914400" y="139255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59</xdr:row>
      <xdr:rowOff>0</xdr:rowOff>
    </xdr:from>
    <xdr:to>
      <xdr:col>2</xdr:col>
      <xdr:colOff>209550</xdr:colOff>
      <xdr:row>59</xdr:row>
      <xdr:rowOff>0</xdr:rowOff>
    </xdr:to>
    <xdr:sp>
      <xdr:nvSpPr>
        <xdr:cNvPr id="299" name="Line 318"/>
        <xdr:cNvSpPr>
          <a:spLocks/>
        </xdr:cNvSpPr>
      </xdr:nvSpPr>
      <xdr:spPr>
        <a:xfrm>
          <a:off x="914400" y="139255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70</xdr:row>
      <xdr:rowOff>0</xdr:rowOff>
    </xdr:from>
    <xdr:to>
      <xdr:col>2</xdr:col>
      <xdr:colOff>209550</xdr:colOff>
      <xdr:row>70</xdr:row>
      <xdr:rowOff>0</xdr:rowOff>
    </xdr:to>
    <xdr:sp>
      <xdr:nvSpPr>
        <xdr:cNvPr id="300" name="Line 319"/>
        <xdr:cNvSpPr>
          <a:spLocks/>
        </xdr:cNvSpPr>
      </xdr:nvSpPr>
      <xdr:spPr>
        <a:xfrm>
          <a:off x="914400" y="164782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123825</xdr:colOff>
      <xdr:row>93</xdr:row>
      <xdr:rowOff>0</xdr:rowOff>
    </xdr:from>
    <xdr:to>
      <xdr:col>2</xdr:col>
      <xdr:colOff>219075</xdr:colOff>
      <xdr:row>93</xdr:row>
      <xdr:rowOff>0</xdr:rowOff>
    </xdr:to>
    <xdr:sp>
      <xdr:nvSpPr>
        <xdr:cNvPr id="301" name="Line 320"/>
        <xdr:cNvSpPr>
          <a:spLocks/>
        </xdr:cNvSpPr>
      </xdr:nvSpPr>
      <xdr:spPr>
        <a:xfrm>
          <a:off x="933450" y="236505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0</xdr:row>
      <xdr:rowOff>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4" name="TextBox 4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5" name="TextBox 5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6" name="TextBox 6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7" name="TextBox 7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8" name="TextBox 8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123825</xdr:rowOff>
    </xdr:from>
    <xdr:to>
      <xdr:col>3</xdr:col>
      <xdr:colOff>0</xdr:colOff>
      <xdr:row>11</xdr:row>
      <xdr:rowOff>123825</xdr:rowOff>
    </xdr:to>
    <xdr:sp>
      <xdr:nvSpPr>
        <xdr:cNvPr id="1" name="Line 1"/>
        <xdr:cNvSpPr>
          <a:spLocks/>
        </xdr:cNvSpPr>
      </xdr:nvSpPr>
      <xdr:spPr>
        <a:xfrm>
          <a:off x="3181350" y="183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4" name="Line 4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5" name="Line 5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6" name="Line 6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7" name="Line 7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8" name="Line 8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9" name="Line 9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0" name="Line 10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1" name="Line 11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12" name="Line 12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13" name="Line 13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14" name="Line 14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15" name="Line 15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16" name="Line 16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17" name="Line 17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8" name="Line 18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19" name="Line 19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20" name="Line 20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21" name="Line 21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22" name="Line 22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23" name="Line 23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24" name="Line 24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142875</xdr:rowOff>
    </xdr:from>
    <xdr:to>
      <xdr:col>3</xdr:col>
      <xdr:colOff>0</xdr:colOff>
      <xdr:row>25</xdr:row>
      <xdr:rowOff>142875</xdr:rowOff>
    </xdr:to>
    <xdr:sp>
      <xdr:nvSpPr>
        <xdr:cNvPr id="25" name="Line 25"/>
        <xdr:cNvSpPr>
          <a:spLocks/>
        </xdr:cNvSpPr>
      </xdr:nvSpPr>
      <xdr:spPr>
        <a:xfrm>
          <a:off x="3181350" y="492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26" name="Line 26"/>
        <xdr:cNvSpPr>
          <a:spLocks/>
        </xdr:cNvSpPr>
      </xdr:nvSpPr>
      <xdr:spPr>
        <a:xfrm>
          <a:off x="31813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27" name="Line 27"/>
        <xdr:cNvSpPr>
          <a:spLocks/>
        </xdr:cNvSpPr>
      </xdr:nvSpPr>
      <xdr:spPr>
        <a:xfrm>
          <a:off x="31813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28" name="Line 28"/>
        <xdr:cNvSpPr>
          <a:spLocks/>
        </xdr:cNvSpPr>
      </xdr:nvSpPr>
      <xdr:spPr>
        <a:xfrm>
          <a:off x="31813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29" name="Line 29"/>
        <xdr:cNvSpPr>
          <a:spLocks/>
        </xdr:cNvSpPr>
      </xdr:nvSpPr>
      <xdr:spPr>
        <a:xfrm>
          <a:off x="31813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30" name="Line 30"/>
        <xdr:cNvSpPr>
          <a:spLocks/>
        </xdr:cNvSpPr>
      </xdr:nvSpPr>
      <xdr:spPr>
        <a:xfrm>
          <a:off x="31813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31" name="Line 31"/>
        <xdr:cNvSpPr>
          <a:spLocks/>
        </xdr:cNvSpPr>
      </xdr:nvSpPr>
      <xdr:spPr>
        <a:xfrm>
          <a:off x="3181350" y="581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32" name="Line 32"/>
        <xdr:cNvSpPr>
          <a:spLocks/>
        </xdr:cNvSpPr>
      </xdr:nvSpPr>
      <xdr:spPr>
        <a:xfrm>
          <a:off x="3181350" y="581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33" name="Line 33"/>
        <xdr:cNvSpPr>
          <a:spLocks/>
        </xdr:cNvSpPr>
      </xdr:nvSpPr>
      <xdr:spPr>
        <a:xfrm>
          <a:off x="3181350" y="581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4" name="Line 34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5" name="Line 35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6" name="Line 36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7" name="Line 37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8" name="Line 38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9" name="Line 39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0" name="Line 40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1" name="Line 41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2" name="Line 42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3" name="Line 43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4" name="Line 44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5" name="Line 45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6" name="Line 46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7" name="Line 47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8" name="Line 48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9" name="Line 49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0" name="Line 50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1" name="Line 51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2" name="Line 52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3" name="Line 53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4" name="Line 54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5" name="Line 55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6" name="Line 56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7" name="Line 57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8" name="Line 58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9" name="Line 59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0" name="Line 60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1" name="Line 61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2" name="Line 62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3" name="Line 63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64" name="Line 64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65" name="Line 65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66" name="Line 66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67" name="Line 67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68" name="Line 68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69" name="Line 69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70" name="Line 70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71" name="Line 71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73" name="Line 73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74" name="Line 74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75" name="Line 75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76" name="Line 76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77" name="Line 77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78" name="Line 78"/>
        <xdr:cNvSpPr>
          <a:spLocks/>
        </xdr:cNvSpPr>
      </xdr:nvSpPr>
      <xdr:spPr>
        <a:xfrm>
          <a:off x="31813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79" name="Line 79"/>
        <xdr:cNvSpPr>
          <a:spLocks/>
        </xdr:cNvSpPr>
      </xdr:nvSpPr>
      <xdr:spPr>
        <a:xfrm>
          <a:off x="31813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80" name="Line 80"/>
        <xdr:cNvSpPr>
          <a:spLocks/>
        </xdr:cNvSpPr>
      </xdr:nvSpPr>
      <xdr:spPr>
        <a:xfrm>
          <a:off x="31813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81" name="Line 81"/>
        <xdr:cNvSpPr>
          <a:spLocks/>
        </xdr:cNvSpPr>
      </xdr:nvSpPr>
      <xdr:spPr>
        <a:xfrm>
          <a:off x="31813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82" name="Line 82"/>
        <xdr:cNvSpPr>
          <a:spLocks/>
        </xdr:cNvSpPr>
      </xdr:nvSpPr>
      <xdr:spPr>
        <a:xfrm>
          <a:off x="31813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83" name="Line 83"/>
        <xdr:cNvSpPr>
          <a:spLocks/>
        </xdr:cNvSpPr>
      </xdr:nvSpPr>
      <xdr:spPr>
        <a:xfrm>
          <a:off x="3181350" y="581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84" name="Line 84"/>
        <xdr:cNvSpPr>
          <a:spLocks/>
        </xdr:cNvSpPr>
      </xdr:nvSpPr>
      <xdr:spPr>
        <a:xfrm>
          <a:off x="3181350" y="581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85" name="Line 85"/>
        <xdr:cNvSpPr>
          <a:spLocks/>
        </xdr:cNvSpPr>
      </xdr:nvSpPr>
      <xdr:spPr>
        <a:xfrm>
          <a:off x="3181350" y="581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86" name="Line 86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87" name="Line 87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88" name="Line 88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89" name="Line 89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90" name="Line 90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91" name="Line 91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92" name="Line 92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93" name="Line 93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94" name="Line 94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95" name="Line 95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96" name="Line 96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97" name="Line 97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98" name="Line 98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99" name="Line 99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00" name="Line 100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01" name="Line 101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02" name="Line 102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04" name="Line 104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06" name="Line 106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07" name="Line 107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08" name="Line 108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161925</xdr:rowOff>
    </xdr:from>
    <xdr:to>
      <xdr:col>3</xdr:col>
      <xdr:colOff>0</xdr:colOff>
      <xdr:row>14</xdr:row>
      <xdr:rowOff>161925</xdr:rowOff>
    </xdr:to>
    <xdr:sp>
      <xdr:nvSpPr>
        <xdr:cNvPr id="110" name="Line 110"/>
        <xdr:cNvSpPr>
          <a:spLocks/>
        </xdr:cNvSpPr>
      </xdr:nvSpPr>
      <xdr:spPr>
        <a:xfrm>
          <a:off x="3181350" y="250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266700</xdr:rowOff>
    </xdr:from>
    <xdr:to>
      <xdr:col>3</xdr:col>
      <xdr:colOff>0</xdr:colOff>
      <xdr:row>15</xdr:row>
      <xdr:rowOff>266700</xdr:rowOff>
    </xdr:to>
    <xdr:sp>
      <xdr:nvSpPr>
        <xdr:cNvPr id="111" name="Line 111"/>
        <xdr:cNvSpPr>
          <a:spLocks/>
        </xdr:cNvSpPr>
      </xdr:nvSpPr>
      <xdr:spPr>
        <a:xfrm>
          <a:off x="3181350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266700</xdr:rowOff>
    </xdr:from>
    <xdr:to>
      <xdr:col>3</xdr:col>
      <xdr:colOff>0</xdr:colOff>
      <xdr:row>15</xdr:row>
      <xdr:rowOff>266700</xdr:rowOff>
    </xdr:to>
    <xdr:sp>
      <xdr:nvSpPr>
        <xdr:cNvPr id="112" name="Line 112"/>
        <xdr:cNvSpPr>
          <a:spLocks/>
        </xdr:cNvSpPr>
      </xdr:nvSpPr>
      <xdr:spPr>
        <a:xfrm>
          <a:off x="3181350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113" name="Line 113"/>
        <xdr:cNvSpPr>
          <a:spLocks/>
        </xdr:cNvSpPr>
      </xdr:nvSpPr>
      <xdr:spPr>
        <a:xfrm>
          <a:off x="318135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114" name="Line 114"/>
        <xdr:cNvSpPr>
          <a:spLocks/>
        </xdr:cNvSpPr>
      </xdr:nvSpPr>
      <xdr:spPr>
        <a:xfrm>
          <a:off x="318135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161925</xdr:rowOff>
    </xdr:from>
    <xdr:to>
      <xdr:col>3</xdr:col>
      <xdr:colOff>0</xdr:colOff>
      <xdr:row>16</xdr:row>
      <xdr:rowOff>161925</xdr:rowOff>
    </xdr:to>
    <xdr:sp>
      <xdr:nvSpPr>
        <xdr:cNvPr id="115" name="Line 115"/>
        <xdr:cNvSpPr>
          <a:spLocks/>
        </xdr:cNvSpPr>
      </xdr:nvSpPr>
      <xdr:spPr>
        <a:xfrm>
          <a:off x="3181350" y="297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180975</xdr:rowOff>
    </xdr:from>
    <xdr:to>
      <xdr:col>3</xdr:col>
      <xdr:colOff>0</xdr:colOff>
      <xdr:row>17</xdr:row>
      <xdr:rowOff>180975</xdr:rowOff>
    </xdr:to>
    <xdr:sp>
      <xdr:nvSpPr>
        <xdr:cNvPr id="116" name="Line 116"/>
        <xdr:cNvSpPr>
          <a:spLocks/>
        </xdr:cNvSpPr>
      </xdr:nvSpPr>
      <xdr:spPr>
        <a:xfrm>
          <a:off x="3181350" y="315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180975</xdr:rowOff>
    </xdr:from>
    <xdr:to>
      <xdr:col>3</xdr:col>
      <xdr:colOff>0</xdr:colOff>
      <xdr:row>17</xdr:row>
      <xdr:rowOff>180975</xdr:rowOff>
    </xdr:to>
    <xdr:sp>
      <xdr:nvSpPr>
        <xdr:cNvPr id="117" name="Line 117"/>
        <xdr:cNvSpPr>
          <a:spLocks/>
        </xdr:cNvSpPr>
      </xdr:nvSpPr>
      <xdr:spPr>
        <a:xfrm>
          <a:off x="3181350" y="315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18" name="Line 118"/>
        <xdr:cNvSpPr>
          <a:spLocks/>
        </xdr:cNvSpPr>
      </xdr:nvSpPr>
      <xdr:spPr>
        <a:xfrm>
          <a:off x="3181350" y="345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19" name="Line 119"/>
        <xdr:cNvSpPr>
          <a:spLocks/>
        </xdr:cNvSpPr>
      </xdr:nvSpPr>
      <xdr:spPr>
        <a:xfrm>
          <a:off x="3181350" y="345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120" name="Line 120"/>
        <xdr:cNvSpPr>
          <a:spLocks/>
        </xdr:cNvSpPr>
      </xdr:nvSpPr>
      <xdr:spPr>
        <a:xfrm>
          <a:off x="3181350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81350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161925</xdr:rowOff>
    </xdr:from>
    <xdr:to>
      <xdr:col>3</xdr:col>
      <xdr:colOff>0</xdr:colOff>
      <xdr:row>20</xdr:row>
      <xdr:rowOff>161925</xdr:rowOff>
    </xdr:to>
    <xdr:sp>
      <xdr:nvSpPr>
        <xdr:cNvPr id="122" name="Line 122"/>
        <xdr:cNvSpPr>
          <a:spLocks/>
        </xdr:cNvSpPr>
      </xdr:nvSpPr>
      <xdr:spPr>
        <a:xfrm>
          <a:off x="31813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161925</xdr:rowOff>
    </xdr:from>
    <xdr:to>
      <xdr:col>3</xdr:col>
      <xdr:colOff>0</xdr:colOff>
      <xdr:row>21</xdr:row>
      <xdr:rowOff>161925</xdr:rowOff>
    </xdr:to>
    <xdr:sp>
      <xdr:nvSpPr>
        <xdr:cNvPr id="123" name="Line 123"/>
        <xdr:cNvSpPr>
          <a:spLocks/>
        </xdr:cNvSpPr>
      </xdr:nvSpPr>
      <xdr:spPr>
        <a:xfrm>
          <a:off x="318135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161925</xdr:rowOff>
    </xdr:from>
    <xdr:to>
      <xdr:col>3</xdr:col>
      <xdr:colOff>0</xdr:colOff>
      <xdr:row>21</xdr:row>
      <xdr:rowOff>161925</xdr:rowOff>
    </xdr:to>
    <xdr:sp>
      <xdr:nvSpPr>
        <xdr:cNvPr id="124" name="Line 124"/>
        <xdr:cNvSpPr>
          <a:spLocks/>
        </xdr:cNvSpPr>
      </xdr:nvSpPr>
      <xdr:spPr>
        <a:xfrm>
          <a:off x="318135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8135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126" name="Line 126"/>
        <xdr:cNvSpPr>
          <a:spLocks/>
        </xdr:cNvSpPr>
      </xdr:nvSpPr>
      <xdr:spPr>
        <a:xfrm>
          <a:off x="318135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81350" y="410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>
      <xdr:nvSpPr>
        <xdr:cNvPr id="128" name="Line 128"/>
        <xdr:cNvSpPr>
          <a:spLocks/>
        </xdr:cNvSpPr>
      </xdr:nvSpPr>
      <xdr:spPr>
        <a:xfrm>
          <a:off x="3181350" y="410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228600</xdr:rowOff>
    </xdr:from>
    <xdr:to>
      <xdr:col>3</xdr:col>
      <xdr:colOff>0</xdr:colOff>
      <xdr:row>23</xdr:row>
      <xdr:rowOff>228600</xdr:rowOff>
    </xdr:to>
    <xdr:sp>
      <xdr:nvSpPr>
        <xdr:cNvPr id="129" name="Line 129"/>
        <xdr:cNvSpPr>
          <a:spLocks/>
        </xdr:cNvSpPr>
      </xdr:nvSpPr>
      <xdr:spPr>
        <a:xfrm>
          <a:off x="318135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>
      <xdr:nvSpPr>
        <xdr:cNvPr id="130" name="Line 130"/>
        <xdr:cNvSpPr>
          <a:spLocks/>
        </xdr:cNvSpPr>
      </xdr:nvSpPr>
      <xdr:spPr>
        <a:xfrm>
          <a:off x="3181350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3181350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133" name="Line 133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135" name="Line 135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136" name="Line 136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137" name="Line 137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139" name="Line 139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141" name="Line 141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143" name="Line 143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145" name="Line 145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147" name="Line 147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149" name="Line 149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151" name="Line 151"/>
        <xdr:cNvSpPr>
          <a:spLocks/>
        </xdr:cNvSpPr>
      </xdr:nvSpPr>
      <xdr:spPr>
        <a:xfrm>
          <a:off x="31813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813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53" name="Line 153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55" name="Line 155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57" name="Line 157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58" name="Line 158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59" name="Line 159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61" name="Line 161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63" name="Line 163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64" name="Line 164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65" name="Line 165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67" name="Line 167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152400</xdr:rowOff>
    </xdr:from>
    <xdr:to>
      <xdr:col>3</xdr:col>
      <xdr:colOff>0</xdr:colOff>
      <xdr:row>26</xdr:row>
      <xdr:rowOff>152400</xdr:rowOff>
    </xdr:to>
    <xdr:sp>
      <xdr:nvSpPr>
        <xdr:cNvPr id="168" name="Line 168"/>
        <xdr:cNvSpPr>
          <a:spLocks/>
        </xdr:cNvSpPr>
      </xdr:nvSpPr>
      <xdr:spPr>
        <a:xfrm>
          <a:off x="31813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152400</xdr:rowOff>
    </xdr:from>
    <xdr:to>
      <xdr:col>3</xdr:col>
      <xdr:colOff>0</xdr:colOff>
      <xdr:row>26</xdr:row>
      <xdr:rowOff>152400</xdr:rowOff>
    </xdr:to>
    <xdr:sp>
      <xdr:nvSpPr>
        <xdr:cNvPr id="169" name="Line 169"/>
        <xdr:cNvSpPr>
          <a:spLocks/>
        </xdr:cNvSpPr>
      </xdr:nvSpPr>
      <xdr:spPr>
        <a:xfrm>
          <a:off x="31813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70" name="Line 170"/>
        <xdr:cNvSpPr>
          <a:spLocks/>
        </xdr:cNvSpPr>
      </xdr:nvSpPr>
      <xdr:spPr>
        <a:xfrm>
          <a:off x="3181350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71" name="Line 171"/>
        <xdr:cNvSpPr>
          <a:spLocks/>
        </xdr:cNvSpPr>
      </xdr:nvSpPr>
      <xdr:spPr>
        <a:xfrm>
          <a:off x="3181350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73" name="Line 173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75" name="Line 175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76" name="Line 176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77" name="Line 177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0</xdr:colOff>
      <xdr:row>11</xdr:row>
      <xdr:rowOff>123825</xdr:rowOff>
    </xdr:to>
    <xdr:sp>
      <xdr:nvSpPr>
        <xdr:cNvPr id="178" name="Line 178"/>
        <xdr:cNvSpPr>
          <a:spLocks/>
        </xdr:cNvSpPr>
      </xdr:nvSpPr>
      <xdr:spPr>
        <a:xfrm>
          <a:off x="3181350" y="183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79" name="Line 179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81" name="Line 181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83" name="Line 183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85" name="Line 185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86" name="Line 186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87" name="Line 187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191" name="Line 191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192" name="Line 192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193" name="Line 193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95" name="Line 195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199" name="Line 199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142875</xdr:rowOff>
    </xdr:from>
    <xdr:to>
      <xdr:col>3</xdr:col>
      <xdr:colOff>0</xdr:colOff>
      <xdr:row>25</xdr:row>
      <xdr:rowOff>142875</xdr:rowOff>
    </xdr:to>
    <xdr:sp>
      <xdr:nvSpPr>
        <xdr:cNvPr id="202" name="Line 202"/>
        <xdr:cNvSpPr>
          <a:spLocks/>
        </xdr:cNvSpPr>
      </xdr:nvSpPr>
      <xdr:spPr>
        <a:xfrm>
          <a:off x="3181350" y="492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203" name="Line 203"/>
        <xdr:cNvSpPr>
          <a:spLocks/>
        </xdr:cNvSpPr>
      </xdr:nvSpPr>
      <xdr:spPr>
        <a:xfrm>
          <a:off x="31813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813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205" name="Line 205"/>
        <xdr:cNvSpPr>
          <a:spLocks/>
        </xdr:cNvSpPr>
      </xdr:nvSpPr>
      <xdr:spPr>
        <a:xfrm>
          <a:off x="31813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813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31813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208" name="Line 208"/>
        <xdr:cNvSpPr>
          <a:spLocks/>
        </xdr:cNvSpPr>
      </xdr:nvSpPr>
      <xdr:spPr>
        <a:xfrm>
          <a:off x="3181350" y="581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209" name="Line 209"/>
        <xdr:cNvSpPr>
          <a:spLocks/>
        </xdr:cNvSpPr>
      </xdr:nvSpPr>
      <xdr:spPr>
        <a:xfrm>
          <a:off x="3181350" y="581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81350" y="581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13" name="Line 213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14" name="Line 214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15" name="Line 215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17" name="Line 217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19" name="Line 219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21" name="Line 221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22" name="Line 222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23" name="Line 223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25" name="Line 225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27" name="Line 227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28" name="Line 228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29" name="Line 229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30" name="Line 230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31" name="Line 231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33" name="Line 233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34" name="Line 234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35" name="Line 235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36" name="Line 236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37" name="Line 237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38" name="Line 238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39" name="Line 239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40" name="Line 240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42" name="Line 242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43" name="Line 243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44" name="Line 244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45" name="Line 245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46" name="Line 246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247" name="Line 247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249" name="Line 249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251" name="Line 251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255" name="Line 255"/>
        <xdr:cNvSpPr>
          <a:spLocks/>
        </xdr:cNvSpPr>
      </xdr:nvSpPr>
      <xdr:spPr>
        <a:xfrm>
          <a:off x="31813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813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257" name="Line 257"/>
        <xdr:cNvSpPr>
          <a:spLocks/>
        </xdr:cNvSpPr>
      </xdr:nvSpPr>
      <xdr:spPr>
        <a:xfrm>
          <a:off x="31813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813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259" name="Line 259"/>
        <xdr:cNvSpPr>
          <a:spLocks/>
        </xdr:cNvSpPr>
      </xdr:nvSpPr>
      <xdr:spPr>
        <a:xfrm>
          <a:off x="31813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81350" y="581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261" name="Line 261"/>
        <xdr:cNvSpPr>
          <a:spLocks/>
        </xdr:cNvSpPr>
      </xdr:nvSpPr>
      <xdr:spPr>
        <a:xfrm>
          <a:off x="3181350" y="581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81350" y="581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63" name="Line 263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64" name="Line 264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65" name="Line 265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68" name="Line 268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69" name="Line 269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70" name="Line 270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71" name="Line 271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73" name="Line 273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75" name="Line 275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79" name="Line 279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81" name="Line 281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83" name="Line 283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84" name="Line 284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85" name="Line 285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161925</xdr:rowOff>
    </xdr:from>
    <xdr:to>
      <xdr:col>3</xdr:col>
      <xdr:colOff>0</xdr:colOff>
      <xdr:row>14</xdr:row>
      <xdr:rowOff>161925</xdr:rowOff>
    </xdr:to>
    <xdr:sp>
      <xdr:nvSpPr>
        <xdr:cNvPr id="287" name="Line 287"/>
        <xdr:cNvSpPr>
          <a:spLocks/>
        </xdr:cNvSpPr>
      </xdr:nvSpPr>
      <xdr:spPr>
        <a:xfrm>
          <a:off x="3181350" y="250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266700</xdr:rowOff>
    </xdr:from>
    <xdr:to>
      <xdr:col>3</xdr:col>
      <xdr:colOff>0</xdr:colOff>
      <xdr:row>15</xdr:row>
      <xdr:rowOff>266700</xdr:rowOff>
    </xdr:to>
    <xdr:sp>
      <xdr:nvSpPr>
        <xdr:cNvPr id="288" name="Line 288"/>
        <xdr:cNvSpPr>
          <a:spLocks/>
        </xdr:cNvSpPr>
      </xdr:nvSpPr>
      <xdr:spPr>
        <a:xfrm>
          <a:off x="3181350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266700</xdr:rowOff>
    </xdr:from>
    <xdr:to>
      <xdr:col>3</xdr:col>
      <xdr:colOff>0</xdr:colOff>
      <xdr:row>15</xdr:row>
      <xdr:rowOff>266700</xdr:rowOff>
    </xdr:to>
    <xdr:sp>
      <xdr:nvSpPr>
        <xdr:cNvPr id="289" name="Line 289"/>
        <xdr:cNvSpPr>
          <a:spLocks/>
        </xdr:cNvSpPr>
      </xdr:nvSpPr>
      <xdr:spPr>
        <a:xfrm>
          <a:off x="3181350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290" name="Line 290"/>
        <xdr:cNvSpPr>
          <a:spLocks/>
        </xdr:cNvSpPr>
      </xdr:nvSpPr>
      <xdr:spPr>
        <a:xfrm>
          <a:off x="318135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291" name="Line 291"/>
        <xdr:cNvSpPr>
          <a:spLocks/>
        </xdr:cNvSpPr>
      </xdr:nvSpPr>
      <xdr:spPr>
        <a:xfrm>
          <a:off x="318135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161925</xdr:rowOff>
    </xdr:from>
    <xdr:to>
      <xdr:col>3</xdr:col>
      <xdr:colOff>0</xdr:colOff>
      <xdr:row>16</xdr:row>
      <xdr:rowOff>161925</xdr:rowOff>
    </xdr:to>
    <xdr:sp>
      <xdr:nvSpPr>
        <xdr:cNvPr id="292" name="Line 292"/>
        <xdr:cNvSpPr>
          <a:spLocks/>
        </xdr:cNvSpPr>
      </xdr:nvSpPr>
      <xdr:spPr>
        <a:xfrm>
          <a:off x="3181350" y="297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180975</xdr:rowOff>
    </xdr:from>
    <xdr:to>
      <xdr:col>3</xdr:col>
      <xdr:colOff>0</xdr:colOff>
      <xdr:row>17</xdr:row>
      <xdr:rowOff>180975</xdr:rowOff>
    </xdr:to>
    <xdr:sp>
      <xdr:nvSpPr>
        <xdr:cNvPr id="293" name="Line 293"/>
        <xdr:cNvSpPr>
          <a:spLocks/>
        </xdr:cNvSpPr>
      </xdr:nvSpPr>
      <xdr:spPr>
        <a:xfrm>
          <a:off x="3181350" y="315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180975</xdr:rowOff>
    </xdr:from>
    <xdr:to>
      <xdr:col>3</xdr:col>
      <xdr:colOff>0</xdr:colOff>
      <xdr:row>17</xdr:row>
      <xdr:rowOff>180975</xdr:rowOff>
    </xdr:to>
    <xdr:sp>
      <xdr:nvSpPr>
        <xdr:cNvPr id="294" name="Line 294"/>
        <xdr:cNvSpPr>
          <a:spLocks/>
        </xdr:cNvSpPr>
      </xdr:nvSpPr>
      <xdr:spPr>
        <a:xfrm>
          <a:off x="3181350" y="315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295" name="Line 295"/>
        <xdr:cNvSpPr>
          <a:spLocks/>
        </xdr:cNvSpPr>
      </xdr:nvSpPr>
      <xdr:spPr>
        <a:xfrm>
          <a:off x="3181350" y="345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81350" y="345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181350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181350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161925</xdr:rowOff>
    </xdr:from>
    <xdr:to>
      <xdr:col>3</xdr:col>
      <xdr:colOff>0</xdr:colOff>
      <xdr:row>20</xdr:row>
      <xdr:rowOff>161925</xdr:rowOff>
    </xdr:to>
    <xdr:sp>
      <xdr:nvSpPr>
        <xdr:cNvPr id="299" name="Line 299"/>
        <xdr:cNvSpPr>
          <a:spLocks/>
        </xdr:cNvSpPr>
      </xdr:nvSpPr>
      <xdr:spPr>
        <a:xfrm>
          <a:off x="31813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161925</xdr:rowOff>
    </xdr:from>
    <xdr:to>
      <xdr:col>3</xdr:col>
      <xdr:colOff>0</xdr:colOff>
      <xdr:row>21</xdr:row>
      <xdr:rowOff>161925</xdr:rowOff>
    </xdr:to>
    <xdr:sp>
      <xdr:nvSpPr>
        <xdr:cNvPr id="300" name="Line 300"/>
        <xdr:cNvSpPr>
          <a:spLocks/>
        </xdr:cNvSpPr>
      </xdr:nvSpPr>
      <xdr:spPr>
        <a:xfrm>
          <a:off x="318135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161925</xdr:rowOff>
    </xdr:from>
    <xdr:to>
      <xdr:col>3</xdr:col>
      <xdr:colOff>0</xdr:colOff>
      <xdr:row>21</xdr:row>
      <xdr:rowOff>161925</xdr:rowOff>
    </xdr:to>
    <xdr:sp>
      <xdr:nvSpPr>
        <xdr:cNvPr id="301" name="Line 301"/>
        <xdr:cNvSpPr>
          <a:spLocks/>
        </xdr:cNvSpPr>
      </xdr:nvSpPr>
      <xdr:spPr>
        <a:xfrm>
          <a:off x="318135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302" name="Line 302"/>
        <xdr:cNvSpPr>
          <a:spLocks/>
        </xdr:cNvSpPr>
      </xdr:nvSpPr>
      <xdr:spPr>
        <a:xfrm>
          <a:off x="318135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303" name="Line 303"/>
        <xdr:cNvSpPr>
          <a:spLocks/>
        </xdr:cNvSpPr>
      </xdr:nvSpPr>
      <xdr:spPr>
        <a:xfrm>
          <a:off x="318135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>
      <xdr:nvSpPr>
        <xdr:cNvPr id="304" name="Line 304"/>
        <xdr:cNvSpPr>
          <a:spLocks/>
        </xdr:cNvSpPr>
      </xdr:nvSpPr>
      <xdr:spPr>
        <a:xfrm>
          <a:off x="3181350" y="410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>
      <xdr:nvSpPr>
        <xdr:cNvPr id="305" name="Line 305"/>
        <xdr:cNvSpPr>
          <a:spLocks/>
        </xdr:cNvSpPr>
      </xdr:nvSpPr>
      <xdr:spPr>
        <a:xfrm>
          <a:off x="3181350" y="410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228600</xdr:rowOff>
    </xdr:from>
    <xdr:to>
      <xdr:col>3</xdr:col>
      <xdr:colOff>0</xdr:colOff>
      <xdr:row>23</xdr:row>
      <xdr:rowOff>228600</xdr:rowOff>
    </xdr:to>
    <xdr:sp>
      <xdr:nvSpPr>
        <xdr:cNvPr id="306" name="Line 306"/>
        <xdr:cNvSpPr>
          <a:spLocks/>
        </xdr:cNvSpPr>
      </xdr:nvSpPr>
      <xdr:spPr>
        <a:xfrm>
          <a:off x="318135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>
      <xdr:nvSpPr>
        <xdr:cNvPr id="307" name="Line 307"/>
        <xdr:cNvSpPr>
          <a:spLocks/>
        </xdr:cNvSpPr>
      </xdr:nvSpPr>
      <xdr:spPr>
        <a:xfrm>
          <a:off x="3181350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81350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309" name="Line 309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310" name="Line 310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311" name="Line 311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312" name="Line 312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313" name="Line 313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314" name="Line 314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315" name="Line 315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316" name="Line 316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318" name="Line 318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319" name="Line 319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320" name="Line 320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321" name="Line 321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322" name="Line 322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323" name="Line 323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325" name="Line 325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327" name="Line 327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813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329" name="Line 329"/>
        <xdr:cNvSpPr>
          <a:spLocks/>
        </xdr:cNvSpPr>
      </xdr:nvSpPr>
      <xdr:spPr>
        <a:xfrm>
          <a:off x="31813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31" name="Line 331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33" name="Line 333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35" name="Line 335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37" name="Line 337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38" name="Line 338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39" name="Line 339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40" name="Line 340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41" name="Line 341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44" name="Line 344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152400</xdr:rowOff>
    </xdr:from>
    <xdr:to>
      <xdr:col>3</xdr:col>
      <xdr:colOff>0</xdr:colOff>
      <xdr:row>26</xdr:row>
      <xdr:rowOff>152400</xdr:rowOff>
    </xdr:to>
    <xdr:sp>
      <xdr:nvSpPr>
        <xdr:cNvPr id="345" name="Line 345"/>
        <xdr:cNvSpPr>
          <a:spLocks/>
        </xdr:cNvSpPr>
      </xdr:nvSpPr>
      <xdr:spPr>
        <a:xfrm>
          <a:off x="31813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152400</xdr:rowOff>
    </xdr:from>
    <xdr:to>
      <xdr:col>3</xdr:col>
      <xdr:colOff>0</xdr:colOff>
      <xdr:row>26</xdr:row>
      <xdr:rowOff>152400</xdr:rowOff>
    </xdr:to>
    <xdr:sp>
      <xdr:nvSpPr>
        <xdr:cNvPr id="346" name="Line 346"/>
        <xdr:cNvSpPr>
          <a:spLocks/>
        </xdr:cNvSpPr>
      </xdr:nvSpPr>
      <xdr:spPr>
        <a:xfrm>
          <a:off x="31813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347" name="Line 347"/>
        <xdr:cNvSpPr>
          <a:spLocks/>
        </xdr:cNvSpPr>
      </xdr:nvSpPr>
      <xdr:spPr>
        <a:xfrm>
          <a:off x="3181350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81350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49" name="Line 349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50" name="Line 350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51" name="Line 351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53" name="Line 353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0</xdr:colOff>
      <xdr:row>11</xdr:row>
      <xdr:rowOff>123825</xdr:rowOff>
    </xdr:to>
    <xdr:sp>
      <xdr:nvSpPr>
        <xdr:cNvPr id="355" name="Line 355"/>
        <xdr:cNvSpPr>
          <a:spLocks/>
        </xdr:cNvSpPr>
      </xdr:nvSpPr>
      <xdr:spPr>
        <a:xfrm>
          <a:off x="3181350" y="183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56" name="Line 356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57" name="Line 357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59" name="Line 359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60" name="Line 360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61" name="Line 361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63" name="Line 363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64" name="Line 364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65" name="Line 365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367" name="Line 367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368" name="Line 368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369" name="Line 369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370" name="Line 370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371" name="Line 371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72" name="Line 372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373" name="Line 373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375" name="Line 375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376" name="Line 376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377" name="Line 377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378" name="Line 378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142875</xdr:rowOff>
    </xdr:from>
    <xdr:to>
      <xdr:col>3</xdr:col>
      <xdr:colOff>0</xdr:colOff>
      <xdr:row>25</xdr:row>
      <xdr:rowOff>142875</xdr:rowOff>
    </xdr:to>
    <xdr:sp>
      <xdr:nvSpPr>
        <xdr:cNvPr id="379" name="Line 379"/>
        <xdr:cNvSpPr>
          <a:spLocks/>
        </xdr:cNvSpPr>
      </xdr:nvSpPr>
      <xdr:spPr>
        <a:xfrm>
          <a:off x="3181350" y="492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380" name="Line 380"/>
        <xdr:cNvSpPr>
          <a:spLocks/>
        </xdr:cNvSpPr>
      </xdr:nvSpPr>
      <xdr:spPr>
        <a:xfrm>
          <a:off x="31813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381" name="Line 381"/>
        <xdr:cNvSpPr>
          <a:spLocks/>
        </xdr:cNvSpPr>
      </xdr:nvSpPr>
      <xdr:spPr>
        <a:xfrm>
          <a:off x="31813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382" name="Line 382"/>
        <xdr:cNvSpPr>
          <a:spLocks/>
        </xdr:cNvSpPr>
      </xdr:nvSpPr>
      <xdr:spPr>
        <a:xfrm>
          <a:off x="31813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813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384" name="Line 384"/>
        <xdr:cNvSpPr>
          <a:spLocks/>
        </xdr:cNvSpPr>
      </xdr:nvSpPr>
      <xdr:spPr>
        <a:xfrm>
          <a:off x="31813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385" name="Line 385"/>
        <xdr:cNvSpPr>
          <a:spLocks/>
        </xdr:cNvSpPr>
      </xdr:nvSpPr>
      <xdr:spPr>
        <a:xfrm>
          <a:off x="3181350" y="581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386" name="Line 386"/>
        <xdr:cNvSpPr>
          <a:spLocks/>
        </xdr:cNvSpPr>
      </xdr:nvSpPr>
      <xdr:spPr>
        <a:xfrm>
          <a:off x="3181350" y="581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387" name="Line 387"/>
        <xdr:cNvSpPr>
          <a:spLocks/>
        </xdr:cNvSpPr>
      </xdr:nvSpPr>
      <xdr:spPr>
        <a:xfrm>
          <a:off x="3181350" y="581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88" name="Line 388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89" name="Line 389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91" name="Line 391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93" name="Line 393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95" name="Line 395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97" name="Line 397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99" name="Line 399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01" name="Line 401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03" name="Line 403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04" name="Line 404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05" name="Line 405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06" name="Line 406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07" name="Line 407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09" name="Line 409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10" name="Line 410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11" name="Line 411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12" name="Line 412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13" name="Line 413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14" name="Line 414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15" name="Line 415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16" name="Line 416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17" name="Line 417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418" name="Line 418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419" name="Line 419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420" name="Line 420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421" name="Line 421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422" name="Line 422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423" name="Line 423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424" name="Line 424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425" name="Line 425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426" name="Line 426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427" name="Line 427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428" name="Line 428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429" name="Line 429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430" name="Line 430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431" name="Line 431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432" name="Line 432"/>
        <xdr:cNvSpPr>
          <a:spLocks/>
        </xdr:cNvSpPr>
      </xdr:nvSpPr>
      <xdr:spPr>
        <a:xfrm>
          <a:off x="31813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433" name="Line 433"/>
        <xdr:cNvSpPr>
          <a:spLocks/>
        </xdr:cNvSpPr>
      </xdr:nvSpPr>
      <xdr:spPr>
        <a:xfrm>
          <a:off x="31813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434" name="Line 434"/>
        <xdr:cNvSpPr>
          <a:spLocks/>
        </xdr:cNvSpPr>
      </xdr:nvSpPr>
      <xdr:spPr>
        <a:xfrm>
          <a:off x="31813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435" name="Line 435"/>
        <xdr:cNvSpPr>
          <a:spLocks/>
        </xdr:cNvSpPr>
      </xdr:nvSpPr>
      <xdr:spPr>
        <a:xfrm>
          <a:off x="31813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436" name="Line 436"/>
        <xdr:cNvSpPr>
          <a:spLocks/>
        </xdr:cNvSpPr>
      </xdr:nvSpPr>
      <xdr:spPr>
        <a:xfrm>
          <a:off x="31813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437" name="Line 437"/>
        <xdr:cNvSpPr>
          <a:spLocks/>
        </xdr:cNvSpPr>
      </xdr:nvSpPr>
      <xdr:spPr>
        <a:xfrm>
          <a:off x="3181350" y="581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438" name="Line 438"/>
        <xdr:cNvSpPr>
          <a:spLocks/>
        </xdr:cNvSpPr>
      </xdr:nvSpPr>
      <xdr:spPr>
        <a:xfrm>
          <a:off x="3181350" y="581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439" name="Line 439"/>
        <xdr:cNvSpPr>
          <a:spLocks/>
        </xdr:cNvSpPr>
      </xdr:nvSpPr>
      <xdr:spPr>
        <a:xfrm>
          <a:off x="3181350" y="581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40" name="Line 440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41" name="Line 441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42" name="Line 442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43" name="Line 443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44" name="Line 444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45" name="Line 445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46" name="Line 446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47" name="Line 447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48" name="Line 448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49" name="Line 449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50" name="Line 450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51" name="Line 451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52" name="Line 452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53" name="Line 453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54" name="Line 454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55" name="Line 455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56" name="Line 456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57" name="Line 457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58" name="Line 458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59" name="Line 459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60" name="Line 460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61" name="Line 461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62" name="Line 462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63" name="Line 463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30</xdr:row>
      <xdr:rowOff>0</xdr:rowOff>
    </xdr:from>
    <xdr:to>
      <xdr:col>1</xdr:col>
      <xdr:colOff>466725</xdr:colOff>
      <xdr:row>30</xdr:row>
      <xdr:rowOff>0</xdr:rowOff>
    </xdr:to>
    <xdr:sp>
      <xdr:nvSpPr>
        <xdr:cNvPr id="464" name="Line 464"/>
        <xdr:cNvSpPr>
          <a:spLocks/>
        </xdr:cNvSpPr>
      </xdr:nvSpPr>
      <xdr:spPr>
        <a:xfrm>
          <a:off x="714375" y="61531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30</xdr:row>
      <xdr:rowOff>0</xdr:rowOff>
    </xdr:from>
    <xdr:to>
      <xdr:col>1</xdr:col>
      <xdr:colOff>466725</xdr:colOff>
      <xdr:row>30</xdr:row>
      <xdr:rowOff>0</xdr:rowOff>
    </xdr:to>
    <xdr:sp>
      <xdr:nvSpPr>
        <xdr:cNvPr id="465" name="Line 465"/>
        <xdr:cNvSpPr>
          <a:spLocks/>
        </xdr:cNvSpPr>
      </xdr:nvSpPr>
      <xdr:spPr>
        <a:xfrm>
          <a:off x="714375" y="61531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30</xdr:row>
      <xdr:rowOff>0</xdr:rowOff>
    </xdr:from>
    <xdr:to>
      <xdr:col>1</xdr:col>
      <xdr:colOff>457200</xdr:colOff>
      <xdr:row>30</xdr:row>
      <xdr:rowOff>0</xdr:rowOff>
    </xdr:to>
    <xdr:sp>
      <xdr:nvSpPr>
        <xdr:cNvPr id="466" name="Line 466"/>
        <xdr:cNvSpPr>
          <a:spLocks/>
        </xdr:cNvSpPr>
      </xdr:nvSpPr>
      <xdr:spPr>
        <a:xfrm>
          <a:off x="704850" y="61531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161925</xdr:rowOff>
    </xdr:from>
    <xdr:to>
      <xdr:col>3</xdr:col>
      <xdr:colOff>0</xdr:colOff>
      <xdr:row>14</xdr:row>
      <xdr:rowOff>161925</xdr:rowOff>
    </xdr:to>
    <xdr:sp>
      <xdr:nvSpPr>
        <xdr:cNvPr id="467" name="Line 467"/>
        <xdr:cNvSpPr>
          <a:spLocks/>
        </xdr:cNvSpPr>
      </xdr:nvSpPr>
      <xdr:spPr>
        <a:xfrm>
          <a:off x="3181350" y="250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266700</xdr:rowOff>
    </xdr:from>
    <xdr:to>
      <xdr:col>3</xdr:col>
      <xdr:colOff>0</xdr:colOff>
      <xdr:row>15</xdr:row>
      <xdr:rowOff>266700</xdr:rowOff>
    </xdr:to>
    <xdr:sp>
      <xdr:nvSpPr>
        <xdr:cNvPr id="468" name="Line 468"/>
        <xdr:cNvSpPr>
          <a:spLocks/>
        </xdr:cNvSpPr>
      </xdr:nvSpPr>
      <xdr:spPr>
        <a:xfrm>
          <a:off x="3181350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266700</xdr:rowOff>
    </xdr:from>
    <xdr:to>
      <xdr:col>3</xdr:col>
      <xdr:colOff>0</xdr:colOff>
      <xdr:row>15</xdr:row>
      <xdr:rowOff>266700</xdr:rowOff>
    </xdr:to>
    <xdr:sp>
      <xdr:nvSpPr>
        <xdr:cNvPr id="469" name="Line 469"/>
        <xdr:cNvSpPr>
          <a:spLocks/>
        </xdr:cNvSpPr>
      </xdr:nvSpPr>
      <xdr:spPr>
        <a:xfrm>
          <a:off x="3181350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470" name="Line 470"/>
        <xdr:cNvSpPr>
          <a:spLocks/>
        </xdr:cNvSpPr>
      </xdr:nvSpPr>
      <xdr:spPr>
        <a:xfrm>
          <a:off x="318135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471" name="Line 471"/>
        <xdr:cNvSpPr>
          <a:spLocks/>
        </xdr:cNvSpPr>
      </xdr:nvSpPr>
      <xdr:spPr>
        <a:xfrm>
          <a:off x="318135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161925</xdr:rowOff>
    </xdr:from>
    <xdr:to>
      <xdr:col>3</xdr:col>
      <xdr:colOff>0</xdr:colOff>
      <xdr:row>16</xdr:row>
      <xdr:rowOff>161925</xdr:rowOff>
    </xdr:to>
    <xdr:sp>
      <xdr:nvSpPr>
        <xdr:cNvPr id="472" name="Line 472"/>
        <xdr:cNvSpPr>
          <a:spLocks/>
        </xdr:cNvSpPr>
      </xdr:nvSpPr>
      <xdr:spPr>
        <a:xfrm>
          <a:off x="3181350" y="297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180975</xdr:rowOff>
    </xdr:from>
    <xdr:to>
      <xdr:col>3</xdr:col>
      <xdr:colOff>0</xdr:colOff>
      <xdr:row>17</xdr:row>
      <xdr:rowOff>180975</xdr:rowOff>
    </xdr:to>
    <xdr:sp>
      <xdr:nvSpPr>
        <xdr:cNvPr id="473" name="Line 473"/>
        <xdr:cNvSpPr>
          <a:spLocks/>
        </xdr:cNvSpPr>
      </xdr:nvSpPr>
      <xdr:spPr>
        <a:xfrm>
          <a:off x="3181350" y="315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180975</xdr:rowOff>
    </xdr:from>
    <xdr:to>
      <xdr:col>3</xdr:col>
      <xdr:colOff>0</xdr:colOff>
      <xdr:row>17</xdr:row>
      <xdr:rowOff>180975</xdr:rowOff>
    </xdr:to>
    <xdr:sp>
      <xdr:nvSpPr>
        <xdr:cNvPr id="474" name="Line 474"/>
        <xdr:cNvSpPr>
          <a:spLocks/>
        </xdr:cNvSpPr>
      </xdr:nvSpPr>
      <xdr:spPr>
        <a:xfrm>
          <a:off x="3181350" y="315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475" name="Line 475"/>
        <xdr:cNvSpPr>
          <a:spLocks/>
        </xdr:cNvSpPr>
      </xdr:nvSpPr>
      <xdr:spPr>
        <a:xfrm>
          <a:off x="3181350" y="345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476" name="Line 476"/>
        <xdr:cNvSpPr>
          <a:spLocks/>
        </xdr:cNvSpPr>
      </xdr:nvSpPr>
      <xdr:spPr>
        <a:xfrm>
          <a:off x="3181350" y="345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477" name="Line 477"/>
        <xdr:cNvSpPr>
          <a:spLocks/>
        </xdr:cNvSpPr>
      </xdr:nvSpPr>
      <xdr:spPr>
        <a:xfrm>
          <a:off x="3181350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478" name="Line 478"/>
        <xdr:cNvSpPr>
          <a:spLocks/>
        </xdr:cNvSpPr>
      </xdr:nvSpPr>
      <xdr:spPr>
        <a:xfrm>
          <a:off x="3181350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161925</xdr:rowOff>
    </xdr:from>
    <xdr:to>
      <xdr:col>3</xdr:col>
      <xdr:colOff>0</xdr:colOff>
      <xdr:row>20</xdr:row>
      <xdr:rowOff>161925</xdr:rowOff>
    </xdr:to>
    <xdr:sp>
      <xdr:nvSpPr>
        <xdr:cNvPr id="479" name="Line 479"/>
        <xdr:cNvSpPr>
          <a:spLocks/>
        </xdr:cNvSpPr>
      </xdr:nvSpPr>
      <xdr:spPr>
        <a:xfrm>
          <a:off x="31813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161925</xdr:rowOff>
    </xdr:from>
    <xdr:to>
      <xdr:col>3</xdr:col>
      <xdr:colOff>0</xdr:colOff>
      <xdr:row>21</xdr:row>
      <xdr:rowOff>161925</xdr:rowOff>
    </xdr:to>
    <xdr:sp>
      <xdr:nvSpPr>
        <xdr:cNvPr id="480" name="Line 480"/>
        <xdr:cNvSpPr>
          <a:spLocks/>
        </xdr:cNvSpPr>
      </xdr:nvSpPr>
      <xdr:spPr>
        <a:xfrm>
          <a:off x="318135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161925</xdr:rowOff>
    </xdr:from>
    <xdr:to>
      <xdr:col>3</xdr:col>
      <xdr:colOff>0</xdr:colOff>
      <xdr:row>21</xdr:row>
      <xdr:rowOff>161925</xdr:rowOff>
    </xdr:to>
    <xdr:sp>
      <xdr:nvSpPr>
        <xdr:cNvPr id="481" name="Line 481"/>
        <xdr:cNvSpPr>
          <a:spLocks/>
        </xdr:cNvSpPr>
      </xdr:nvSpPr>
      <xdr:spPr>
        <a:xfrm>
          <a:off x="318135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482" name="Line 482"/>
        <xdr:cNvSpPr>
          <a:spLocks/>
        </xdr:cNvSpPr>
      </xdr:nvSpPr>
      <xdr:spPr>
        <a:xfrm>
          <a:off x="318135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483" name="Line 483"/>
        <xdr:cNvSpPr>
          <a:spLocks/>
        </xdr:cNvSpPr>
      </xdr:nvSpPr>
      <xdr:spPr>
        <a:xfrm>
          <a:off x="318135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>
      <xdr:nvSpPr>
        <xdr:cNvPr id="484" name="Line 484"/>
        <xdr:cNvSpPr>
          <a:spLocks/>
        </xdr:cNvSpPr>
      </xdr:nvSpPr>
      <xdr:spPr>
        <a:xfrm>
          <a:off x="3181350" y="410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>
      <xdr:nvSpPr>
        <xdr:cNvPr id="485" name="Line 485"/>
        <xdr:cNvSpPr>
          <a:spLocks/>
        </xdr:cNvSpPr>
      </xdr:nvSpPr>
      <xdr:spPr>
        <a:xfrm>
          <a:off x="3181350" y="410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228600</xdr:rowOff>
    </xdr:from>
    <xdr:to>
      <xdr:col>3</xdr:col>
      <xdr:colOff>0</xdr:colOff>
      <xdr:row>23</xdr:row>
      <xdr:rowOff>228600</xdr:rowOff>
    </xdr:to>
    <xdr:sp>
      <xdr:nvSpPr>
        <xdr:cNvPr id="486" name="Line 486"/>
        <xdr:cNvSpPr>
          <a:spLocks/>
        </xdr:cNvSpPr>
      </xdr:nvSpPr>
      <xdr:spPr>
        <a:xfrm>
          <a:off x="318135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>
      <xdr:nvSpPr>
        <xdr:cNvPr id="487" name="Line 487"/>
        <xdr:cNvSpPr>
          <a:spLocks/>
        </xdr:cNvSpPr>
      </xdr:nvSpPr>
      <xdr:spPr>
        <a:xfrm>
          <a:off x="3181350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>
      <xdr:nvSpPr>
        <xdr:cNvPr id="488" name="Line 488"/>
        <xdr:cNvSpPr>
          <a:spLocks/>
        </xdr:cNvSpPr>
      </xdr:nvSpPr>
      <xdr:spPr>
        <a:xfrm>
          <a:off x="3181350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489" name="Line 489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490" name="Line 490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491" name="Line 491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492" name="Line 492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493" name="Line 493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494" name="Line 494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495" name="Line 495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496" name="Line 496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497" name="Line 497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498" name="Line 498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499" name="Line 499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500" name="Line 500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501" name="Line 501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502" name="Line 502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503" name="Line 503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504" name="Line 504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505" name="Line 505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506" name="Line 506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507" name="Line 507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508" name="Line 508"/>
        <xdr:cNvSpPr>
          <a:spLocks/>
        </xdr:cNvSpPr>
      </xdr:nvSpPr>
      <xdr:spPr>
        <a:xfrm>
          <a:off x="31813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509" name="Line 509"/>
        <xdr:cNvSpPr>
          <a:spLocks/>
        </xdr:cNvSpPr>
      </xdr:nvSpPr>
      <xdr:spPr>
        <a:xfrm>
          <a:off x="31813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10" name="Line 510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11" name="Line 511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12" name="Line 512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13" name="Line 513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14" name="Line 514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15" name="Line 515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16" name="Line 516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17" name="Line 517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18" name="Line 518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19" name="Line 519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20" name="Line 520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21" name="Line 521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22" name="Line 522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23" name="Line 523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24" name="Line 524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30</xdr:row>
      <xdr:rowOff>0</xdr:rowOff>
    </xdr:from>
    <xdr:to>
      <xdr:col>1</xdr:col>
      <xdr:colOff>466725</xdr:colOff>
      <xdr:row>30</xdr:row>
      <xdr:rowOff>0</xdr:rowOff>
    </xdr:to>
    <xdr:sp>
      <xdr:nvSpPr>
        <xdr:cNvPr id="525" name="Line 525"/>
        <xdr:cNvSpPr>
          <a:spLocks/>
        </xdr:cNvSpPr>
      </xdr:nvSpPr>
      <xdr:spPr>
        <a:xfrm>
          <a:off x="714375" y="61531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152400</xdr:rowOff>
    </xdr:from>
    <xdr:to>
      <xdr:col>3</xdr:col>
      <xdr:colOff>0</xdr:colOff>
      <xdr:row>26</xdr:row>
      <xdr:rowOff>152400</xdr:rowOff>
    </xdr:to>
    <xdr:sp>
      <xdr:nvSpPr>
        <xdr:cNvPr id="526" name="Line 526"/>
        <xdr:cNvSpPr>
          <a:spLocks/>
        </xdr:cNvSpPr>
      </xdr:nvSpPr>
      <xdr:spPr>
        <a:xfrm>
          <a:off x="31813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152400</xdr:rowOff>
    </xdr:from>
    <xdr:to>
      <xdr:col>3</xdr:col>
      <xdr:colOff>0</xdr:colOff>
      <xdr:row>26</xdr:row>
      <xdr:rowOff>152400</xdr:rowOff>
    </xdr:to>
    <xdr:sp>
      <xdr:nvSpPr>
        <xdr:cNvPr id="527" name="Line 527"/>
        <xdr:cNvSpPr>
          <a:spLocks/>
        </xdr:cNvSpPr>
      </xdr:nvSpPr>
      <xdr:spPr>
        <a:xfrm>
          <a:off x="31813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528" name="Line 528"/>
        <xdr:cNvSpPr>
          <a:spLocks/>
        </xdr:cNvSpPr>
      </xdr:nvSpPr>
      <xdr:spPr>
        <a:xfrm>
          <a:off x="3181350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529" name="Line 529"/>
        <xdr:cNvSpPr>
          <a:spLocks/>
        </xdr:cNvSpPr>
      </xdr:nvSpPr>
      <xdr:spPr>
        <a:xfrm>
          <a:off x="3181350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30" name="Line 530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31" name="Line 531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32" name="Line 532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33" name="Line 533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34" name="Line 534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35" name="Line 535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0</xdr:colOff>
      <xdr:row>11</xdr:row>
      <xdr:rowOff>123825</xdr:rowOff>
    </xdr:to>
    <xdr:sp>
      <xdr:nvSpPr>
        <xdr:cNvPr id="536" name="Line 536"/>
        <xdr:cNvSpPr>
          <a:spLocks/>
        </xdr:cNvSpPr>
      </xdr:nvSpPr>
      <xdr:spPr>
        <a:xfrm>
          <a:off x="3181350" y="183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537" name="Line 537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538" name="Line 538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539" name="Line 539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540" name="Line 540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541" name="Line 541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542" name="Line 542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543" name="Line 543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544" name="Line 544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545" name="Line 545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546" name="Line 546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547" name="Line 547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548" name="Line 548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549" name="Line 549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550" name="Line 550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551" name="Line 551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552" name="Line 552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553" name="Line 553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554" name="Line 554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555" name="Line 555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556" name="Line 556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557" name="Line 557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558" name="Line 558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559" name="Line 559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142875</xdr:rowOff>
    </xdr:from>
    <xdr:to>
      <xdr:col>3</xdr:col>
      <xdr:colOff>0</xdr:colOff>
      <xdr:row>25</xdr:row>
      <xdr:rowOff>142875</xdr:rowOff>
    </xdr:to>
    <xdr:sp>
      <xdr:nvSpPr>
        <xdr:cNvPr id="560" name="Line 560"/>
        <xdr:cNvSpPr>
          <a:spLocks/>
        </xdr:cNvSpPr>
      </xdr:nvSpPr>
      <xdr:spPr>
        <a:xfrm>
          <a:off x="3181350" y="492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561" name="Line 561"/>
        <xdr:cNvSpPr>
          <a:spLocks/>
        </xdr:cNvSpPr>
      </xdr:nvSpPr>
      <xdr:spPr>
        <a:xfrm>
          <a:off x="31813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562" name="Line 562"/>
        <xdr:cNvSpPr>
          <a:spLocks/>
        </xdr:cNvSpPr>
      </xdr:nvSpPr>
      <xdr:spPr>
        <a:xfrm>
          <a:off x="31813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563" name="Line 563"/>
        <xdr:cNvSpPr>
          <a:spLocks/>
        </xdr:cNvSpPr>
      </xdr:nvSpPr>
      <xdr:spPr>
        <a:xfrm>
          <a:off x="31813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564" name="Line 564"/>
        <xdr:cNvSpPr>
          <a:spLocks/>
        </xdr:cNvSpPr>
      </xdr:nvSpPr>
      <xdr:spPr>
        <a:xfrm>
          <a:off x="31813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565" name="Line 565"/>
        <xdr:cNvSpPr>
          <a:spLocks/>
        </xdr:cNvSpPr>
      </xdr:nvSpPr>
      <xdr:spPr>
        <a:xfrm>
          <a:off x="31813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566" name="Line 566"/>
        <xdr:cNvSpPr>
          <a:spLocks/>
        </xdr:cNvSpPr>
      </xdr:nvSpPr>
      <xdr:spPr>
        <a:xfrm>
          <a:off x="3181350" y="581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567" name="Line 567"/>
        <xdr:cNvSpPr>
          <a:spLocks/>
        </xdr:cNvSpPr>
      </xdr:nvSpPr>
      <xdr:spPr>
        <a:xfrm>
          <a:off x="3181350" y="581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568" name="Line 568"/>
        <xdr:cNvSpPr>
          <a:spLocks/>
        </xdr:cNvSpPr>
      </xdr:nvSpPr>
      <xdr:spPr>
        <a:xfrm>
          <a:off x="3181350" y="581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69" name="Line 569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70" name="Line 570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71" name="Line 571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72" name="Line 572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73" name="Line 573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74" name="Line 574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75" name="Line 575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76" name="Line 576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77" name="Line 577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78" name="Line 578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79" name="Line 579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80" name="Line 580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81" name="Line 581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82" name="Line 582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83" name="Line 583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84" name="Line 584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85" name="Line 585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86" name="Line 586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87" name="Line 587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88" name="Line 588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89" name="Line 589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90" name="Line 590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91" name="Line 591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92" name="Line 592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93" name="Line 593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94" name="Line 594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95" name="Line 595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96" name="Line 596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97" name="Line 597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98" name="Line 598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599" name="Line 599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600" name="Line 600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601" name="Line 601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602" name="Line 602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603" name="Line 603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604" name="Line 604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605" name="Line 605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606" name="Line 606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607" name="Line 607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608" name="Line 608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609" name="Line 609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610" name="Line 610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611" name="Line 611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612" name="Line 612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613" name="Line 613"/>
        <xdr:cNvSpPr>
          <a:spLocks/>
        </xdr:cNvSpPr>
      </xdr:nvSpPr>
      <xdr:spPr>
        <a:xfrm>
          <a:off x="31813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614" name="Line 614"/>
        <xdr:cNvSpPr>
          <a:spLocks/>
        </xdr:cNvSpPr>
      </xdr:nvSpPr>
      <xdr:spPr>
        <a:xfrm>
          <a:off x="31813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615" name="Line 615"/>
        <xdr:cNvSpPr>
          <a:spLocks/>
        </xdr:cNvSpPr>
      </xdr:nvSpPr>
      <xdr:spPr>
        <a:xfrm>
          <a:off x="31813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616" name="Line 616"/>
        <xdr:cNvSpPr>
          <a:spLocks/>
        </xdr:cNvSpPr>
      </xdr:nvSpPr>
      <xdr:spPr>
        <a:xfrm>
          <a:off x="31813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617" name="Line 617"/>
        <xdr:cNvSpPr>
          <a:spLocks/>
        </xdr:cNvSpPr>
      </xdr:nvSpPr>
      <xdr:spPr>
        <a:xfrm>
          <a:off x="31813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618" name="Line 618"/>
        <xdr:cNvSpPr>
          <a:spLocks/>
        </xdr:cNvSpPr>
      </xdr:nvSpPr>
      <xdr:spPr>
        <a:xfrm>
          <a:off x="3181350" y="581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619" name="Line 619"/>
        <xdr:cNvSpPr>
          <a:spLocks/>
        </xdr:cNvSpPr>
      </xdr:nvSpPr>
      <xdr:spPr>
        <a:xfrm>
          <a:off x="3181350" y="581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620" name="Line 620"/>
        <xdr:cNvSpPr>
          <a:spLocks/>
        </xdr:cNvSpPr>
      </xdr:nvSpPr>
      <xdr:spPr>
        <a:xfrm>
          <a:off x="3181350" y="581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21" name="Line 621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22" name="Line 622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23" name="Line 623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24" name="Line 624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25" name="Line 625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26" name="Line 626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27" name="Line 627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28" name="Line 628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29" name="Line 629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30" name="Line 630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31" name="Line 631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32" name="Line 632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33" name="Line 633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34" name="Line 634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35" name="Line 635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36" name="Line 636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37" name="Line 637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38" name="Line 638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39" name="Line 639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40" name="Line 640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41" name="Line 641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42" name="Line 642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43" name="Line 643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44" name="Line 644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30</xdr:row>
      <xdr:rowOff>0</xdr:rowOff>
    </xdr:from>
    <xdr:to>
      <xdr:col>1</xdr:col>
      <xdr:colOff>466725</xdr:colOff>
      <xdr:row>30</xdr:row>
      <xdr:rowOff>0</xdr:rowOff>
    </xdr:to>
    <xdr:sp>
      <xdr:nvSpPr>
        <xdr:cNvPr id="645" name="Line 645"/>
        <xdr:cNvSpPr>
          <a:spLocks/>
        </xdr:cNvSpPr>
      </xdr:nvSpPr>
      <xdr:spPr>
        <a:xfrm>
          <a:off x="714375" y="61531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30</xdr:row>
      <xdr:rowOff>0</xdr:rowOff>
    </xdr:from>
    <xdr:to>
      <xdr:col>1</xdr:col>
      <xdr:colOff>466725</xdr:colOff>
      <xdr:row>30</xdr:row>
      <xdr:rowOff>0</xdr:rowOff>
    </xdr:to>
    <xdr:sp>
      <xdr:nvSpPr>
        <xdr:cNvPr id="646" name="Line 646"/>
        <xdr:cNvSpPr>
          <a:spLocks/>
        </xdr:cNvSpPr>
      </xdr:nvSpPr>
      <xdr:spPr>
        <a:xfrm>
          <a:off x="714375" y="61531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30</xdr:row>
      <xdr:rowOff>0</xdr:rowOff>
    </xdr:from>
    <xdr:to>
      <xdr:col>1</xdr:col>
      <xdr:colOff>457200</xdr:colOff>
      <xdr:row>30</xdr:row>
      <xdr:rowOff>0</xdr:rowOff>
    </xdr:to>
    <xdr:sp>
      <xdr:nvSpPr>
        <xdr:cNvPr id="647" name="Line 647"/>
        <xdr:cNvSpPr>
          <a:spLocks/>
        </xdr:cNvSpPr>
      </xdr:nvSpPr>
      <xdr:spPr>
        <a:xfrm>
          <a:off x="704850" y="61531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161925</xdr:rowOff>
    </xdr:from>
    <xdr:to>
      <xdr:col>3</xdr:col>
      <xdr:colOff>0</xdr:colOff>
      <xdr:row>14</xdr:row>
      <xdr:rowOff>161925</xdr:rowOff>
    </xdr:to>
    <xdr:sp>
      <xdr:nvSpPr>
        <xdr:cNvPr id="648" name="Line 648"/>
        <xdr:cNvSpPr>
          <a:spLocks/>
        </xdr:cNvSpPr>
      </xdr:nvSpPr>
      <xdr:spPr>
        <a:xfrm>
          <a:off x="3181350" y="250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266700</xdr:rowOff>
    </xdr:from>
    <xdr:to>
      <xdr:col>3</xdr:col>
      <xdr:colOff>0</xdr:colOff>
      <xdr:row>15</xdr:row>
      <xdr:rowOff>266700</xdr:rowOff>
    </xdr:to>
    <xdr:sp>
      <xdr:nvSpPr>
        <xdr:cNvPr id="649" name="Line 649"/>
        <xdr:cNvSpPr>
          <a:spLocks/>
        </xdr:cNvSpPr>
      </xdr:nvSpPr>
      <xdr:spPr>
        <a:xfrm>
          <a:off x="3181350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266700</xdr:rowOff>
    </xdr:from>
    <xdr:to>
      <xdr:col>3</xdr:col>
      <xdr:colOff>0</xdr:colOff>
      <xdr:row>15</xdr:row>
      <xdr:rowOff>266700</xdr:rowOff>
    </xdr:to>
    <xdr:sp>
      <xdr:nvSpPr>
        <xdr:cNvPr id="650" name="Line 650"/>
        <xdr:cNvSpPr>
          <a:spLocks/>
        </xdr:cNvSpPr>
      </xdr:nvSpPr>
      <xdr:spPr>
        <a:xfrm>
          <a:off x="3181350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651" name="Line 651"/>
        <xdr:cNvSpPr>
          <a:spLocks/>
        </xdr:cNvSpPr>
      </xdr:nvSpPr>
      <xdr:spPr>
        <a:xfrm>
          <a:off x="318135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652" name="Line 652"/>
        <xdr:cNvSpPr>
          <a:spLocks/>
        </xdr:cNvSpPr>
      </xdr:nvSpPr>
      <xdr:spPr>
        <a:xfrm>
          <a:off x="318135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161925</xdr:rowOff>
    </xdr:from>
    <xdr:to>
      <xdr:col>3</xdr:col>
      <xdr:colOff>0</xdr:colOff>
      <xdr:row>16</xdr:row>
      <xdr:rowOff>161925</xdr:rowOff>
    </xdr:to>
    <xdr:sp>
      <xdr:nvSpPr>
        <xdr:cNvPr id="653" name="Line 653"/>
        <xdr:cNvSpPr>
          <a:spLocks/>
        </xdr:cNvSpPr>
      </xdr:nvSpPr>
      <xdr:spPr>
        <a:xfrm>
          <a:off x="3181350" y="297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180975</xdr:rowOff>
    </xdr:from>
    <xdr:to>
      <xdr:col>3</xdr:col>
      <xdr:colOff>0</xdr:colOff>
      <xdr:row>17</xdr:row>
      <xdr:rowOff>180975</xdr:rowOff>
    </xdr:to>
    <xdr:sp>
      <xdr:nvSpPr>
        <xdr:cNvPr id="654" name="Line 654"/>
        <xdr:cNvSpPr>
          <a:spLocks/>
        </xdr:cNvSpPr>
      </xdr:nvSpPr>
      <xdr:spPr>
        <a:xfrm>
          <a:off x="3181350" y="315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180975</xdr:rowOff>
    </xdr:from>
    <xdr:to>
      <xdr:col>3</xdr:col>
      <xdr:colOff>0</xdr:colOff>
      <xdr:row>17</xdr:row>
      <xdr:rowOff>180975</xdr:rowOff>
    </xdr:to>
    <xdr:sp>
      <xdr:nvSpPr>
        <xdr:cNvPr id="655" name="Line 655"/>
        <xdr:cNvSpPr>
          <a:spLocks/>
        </xdr:cNvSpPr>
      </xdr:nvSpPr>
      <xdr:spPr>
        <a:xfrm>
          <a:off x="3181350" y="315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656" name="Line 656"/>
        <xdr:cNvSpPr>
          <a:spLocks/>
        </xdr:cNvSpPr>
      </xdr:nvSpPr>
      <xdr:spPr>
        <a:xfrm>
          <a:off x="3181350" y="345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657" name="Line 657"/>
        <xdr:cNvSpPr>
          <a:spLocks/>
        </xdr:cNvSpPr>
      </xdr:nvSpPr>
      <xdr:spPr>
        <a:xfrm>
          <a:off x="3181350" y="345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658" name="Line 658"/>
        <xdr:cNvSpPr>
          <a:spLocks/>
        </xdr:cNvSpPr>
      </xdr:nvSpPr>
      <xdr:spPr>
        <a:xfrm>
          <a:off x="3181350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659" name="Line 659"/>
        <xdr:cNvSpPr>
          <a:spLocks/>
        </xdr:cNvSpPr>
      </xdr:nvSpPr>
      <xdr:spPr>
        <a:xfrm>
          <a:off x="3181350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161925</xdr:rowOff>
    </xdr:from>
    <xdr:to>
      <xdr:col>3</xdr:col>
      <xdr:colOff>0</xdr:colOff>
      <xdr:row>20</xdr:row>
      <xdr:rowOff>161925</xdr:rowOff>
    </xdr:to>
    <xdr:sp>
      <xdr:nvSpPr>
        <xdr:cNvPr id="660" name="Line 660"/>
        <xdr:cNvSpPr>
          <a:spLocks/>
        </xdr:cNvSpPr>
      </xdr:nvSpPr>
      <xdr:spPr>
        <a:xfrm>
          <a:off x="31813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161925</xdr:rowOff>
    </xdr:from>
    <xdr:to>
      <xdr:col>3</xdr:col>
      <xdr:colOff>0</xdr:colOff>
      <xdr:row>21</xdr:row>
      <xdr:rowOff>161925</xdr:rowOff>
    </xdr:to>
    <xdr:sp>
      <xdr:nvSpPr>
        <xdr:cNvPr id="661" name="Line 661"/>
        <xdr:cNvSpPr>
          <a:spLocks/>
        </xdr:cNvSpPr>
      </xdr:nvSpPr>
      <xdr:spPr>
        <a:xfrm>
          <a:off x="318135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161925</xdr:rowOff>
    </xdr:from>
    <xdr:to>
      <xdr:col>3</xdr:col>
      <xdr:colOff>0</xdr:colOff>
      <xdr:row>21</xdr:row>
      <xdr:rowOff>161925</xdr:rowOff>
    </xdr:to>
    <xdr:sp>
      <xdr:nvSpPr>
        <xdr:cNvPr id="662" name="Line 662"/>
        <xdr:cNvSpPr>
          <a:spLocks/>
        </xdr:cNvSpPr>
      </xdr:nvSpPr>
      <xdr:spPr>
        <a:xfrm>
          <a:off x="318135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663" name="Line 663"/>
        <xdr:cNvSpPr>
          <a:spLocks/>
        </xdr:cNvSpPr>
      </xdr:nvSpPr>
      <xdr:spPr>
        <a:xfrm>
          <a:off x="318135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664" name="Line 664"/>
        <xdr:cNvSpPr>
          <a:spLocks/>
        </xdr:cNvSpPr>
      </xdr:nvSpPr>
      <xdr:spPr>
        <a:xfrm>
          <a:off x="318135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>
      <xdr:nvSpPr>
        <xdr:cNvPr id="665" name="Line 665"/>
        <xdr:cNvSpPr>
          <a:spLocks/>
        </xdr:cNvSpPr>
      </xdr:nvSpPr>
      <xdr:spPr>
        <a:xfrm>
          <a:off x="3181350" y="410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>
      <xdr:nvSpPr>
        <xdr:cNvPr id="666" name="Line 666"/>
        <xdr:cNvSpPr>
          <a:spLocks/>
        </xdr:cNvSpPr>
      </xdr:nvSpPr>
      <xdr:spPr>
        <a:xfrm>
          <a:off x="3181350" y="410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228600</xdr:rowOff>
    </xdr:from>
    <xdr:to>
      <xdr:col>3</xdr:col>
      <xdr:colOff>0</xdr:colOff>
      <xdr:row>23</xdr:row>
      <xdr:rowOff>228600</xdr:rowOff>
    </xdr:to>
    <xdr:sp>
      <xdr:nvSpPr>
        <xdr:cNvPr id="667" name="Line 667"/>
        <xdr:cNvSpPr>
          <a:spLocks/>
        </xdr:cNvSpPr>
      </xdr:nvSpPr>
      <xdr:spPr>
        <a:xfrm>
          <a:off x="318135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>
      <xdr:nvSpPr>
        <xdr:cNvPr id="668" name="Line 668"/>
        <xdr:cNvSpPr>
          <a:spLocks/>
        </xdr:cNvSpPr>
      </xdr:nvSpPr>
      <xdr:spPr>
        <a:xfrm>
          <a:off x="3181350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>
      <xdr:nvSpPr>
        <xdr:cNvPr id="669" name="Line 669"/>
        <xdr:cNvSpPr>
          <a:spLocks/>
        </xdr:cNvSpPr>
      </xdr:nvSpPr>
      <xdr:spPr>
        <a:xfrm>
          <a:off x="3181350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670" name="Line 670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671" name="Line 671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672" name="Line 672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673" name="Line 673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674" name="Line 674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675" name="Line 675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676" name="Line 676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677" name="Line 677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678" name="Line 678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679" name="Line 679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680" name="Line 680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681" name="Line 681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682" name="Line 682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683" name="Line 683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684" name="Line 684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685" name="Line 685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686" name="Line 686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687" name="Line 687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688" name="Line 688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689" name="Line 689"/>
        <xdr:cNvSpPr>
          <a:spLocks/>
        </xdr:cNvSpPr>
      </xdr:nvSpPr>
      <xdr:spPr>
        <a:xfrm>
          <a:off x="31813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690" name="Line 690"/>
        <xdr:cNvSpPr>
          <a:spLocks/>
        </xdr:cNvSpPr>
      </xdr:nvSpPr>
      <xdr:spPr>
        <a:xfrm>
          <a:off x="31813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91" name="Line 691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92" name="Line 692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93" name="Line 693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94" name="Line 694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95" name="Line 695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96" name="Line 696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97" name="Line 697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98" name="Line 698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99" name="Line 699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00" name="Line 700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01" name="Line 701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02" name="Line 702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03" name="Line 703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04" name="Line 704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05" name="Line 705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30</xdr:row>
      <xdr:rowOff>0</xdr:rowOff>
    </xdr:from>
    <xdr:to>
      <xdr:col>1</xdr:col>
      <xdr:colOff>466725</xdr:colOff>
      <xdr:row>30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14375" y="61531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152400</xdr:rowOff>
    </xdr:from>
    <xdr:to>
      <xdr:col>3</xdr:col>
      <xdr:colOff>0</xdr:colOff>
      <xdr:row>26</xdr:row>
      <xdr:rowOff>152400</xdr:rowOff>
    </xdr:to>
    <xdr:sp>
      <xdr:nvSpPr>
        <xdr:cNvPr id="707" name="Line 707"/>
        <xdr:cNvSpPr>
          <a:spLocks/>
        </xdr:cNvSpPr>
      </xdr:nvSpPr>
      <xdr:spPr>
        <a:xfrm>
          <a:off x="31813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152400</xdr:rowOff>
    </xdr:from>
    <xdr:to>
      <xdr:col>3</xdr:col>
      <xdr:colOff>0</xdr:colOff>
      <xdr:row>26</xdr:row>
      <xdr:rowOff>152400</xdr:rowOff>
    </xdr:to>
    <xdr:sp>
      <xdr:nvSpPr>
        <xdr:cNvPr id="708" name="Line 708"/>
        <xdr:cNvSpPr>
          <a:spLocks/>
        </xdr:cNvSpPr>
      </xdr:nvSpPr>
      <xdr:spPr>
        <a:xfrm>
          <a:off x="31813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709" name="Line 709"/>
        <xdr:cNvSpPr>
          <a:spLocks/>
        </xdr:cNvSpPr>
      </xdr:nvSpPr>
      <xdr:spPr>
        <a:xfrm>
          <a:off x="3181350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710" name="Line 710"/>
        <xdr:cNvSpPr>
          <a:spLocks/>
        </xdr:cNvSpPr>
      </xdr:nvSpPr>
      <xdr:spPr>
        <a:xfrm>
          <a:off x="3181350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11" name="Line 711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12" name="Line 712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13" name="Line 713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14" name="Line 714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15" name="Line 715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16" name="Line 716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0</xdr:colOff>
      <xdr:row>11</xdr:row>
      <xdr:rowOff>123825</xdr:rowOff>
    </xdr:to>
    <xdr:sp>
      <xdr:nvSpPr>
        <xdr:cNvPr id="717" name="Line 717"/>
        <xdr:cNvSpPr>
          <a:spLocks/>
        </xdr:cNvSpPr>
      </xdr:nvSpPr>
      <xdr:spPr>
        <a:xfrm>
          <a:off x="3181350" y="183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718" name="Line 718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719" name="Line 719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720" name="Line 720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721" name="Line 721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722" name="Line 722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723" name="Line 723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724" name="Line 724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725" name="Line 725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726" name="Line 726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727" name="Line 727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728" name="Line 728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729" name="Line 729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730" name="Line 730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731" name="Line 731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732" name="Line 732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733" name="Line 733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734" name="Line 734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735" name="Line 735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736" name="Line 736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737" name="Line 737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738" name="Line 738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739" name="Line 739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740" name="Line 740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142875</xdr:rowOff>
    </xdr:from>
    <xdr:to>
      <xdr:col>3</xdr:col>
      <xdr:colOff>0</xdr:colOff>
      <xdr:row>25</xdr:row>
      <xdr:rowOff>142875</xdr:rowOff>
    </xdr:to>
    <xdr:sp>
      <xdr:nvSpPr>
        <xdr:cNvPr id="741" name="Line 741"/>
        <xdr:cNvSpPr>
          <a:spLocks/>
        </xdr:cNvSpPr>
      </xdr:nvSpPr>
      <xdr:spPr>
        <a:xfrm>
          <a:off x="3181350" y="492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742" name="Line 742"/>
        <xdr:cNvSpPr>
          <a:spLocks/>
        </xdr:cNvSpPr>
      </xdr:nvSpPr>
      <xdr:spPr>
        <a:xfrm>
          <a:off x="31813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743" name="Line 743"/>
        <xdr:cNvSpPr>
          <a:spLocks/>
        </xdr:cNvSpPr>
      </xdr:nvSpPr>
      <xdr:spPr>
        <a:xfrm>
          <a:off x="31813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744" name="Line 744"/>
        <xdr:cNvSpPr>
          <a:spLocks/>
        </xdr:cNvSpPr>
      </xdr:nvSpPr>
      <xdr:spPr>
        <a:xfrm>
          <a:off x="31813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745" name="Line 745"/>
        <xdr:cNvSpPr>
          <a:spLocks/>
        </xdr:cNvSpPr>
      </xdr:nvSpPr>
      <xdr:spPr>
        <a:xfrm>
          <a:off x="31813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746" name="Line 746"/>
        <xdr:cNvSpPr>
          <a:spLocks/>
        </xdr:cNvSpPr>
      </xdr:nvSpPr>
      <xdr:spPr>
        <a:xfrm>
          <a:off x="31813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747" name="Line 747"/>
        <xdr:cNvSpPr>
          <a:spLocks/>
        </xdr:cNvSpPr>
      </xdr:nvSpPr>
      <xdr:spPr>
        <a:xfrm>
          <a:off x="3181350" y="581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748" name="Line 748"/>
        <xdr:cNvSpPr>
          <a:spLocks/>
        </xdr:cNvSpPr>
      </xdr:nvSpPr>
      <xdr:spPr>
        <a:xfrm>
          <a:off x="3181350" y="581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749" name="Line 749"/>
        <xdr:cNvSpPr>
          <a:spLocks/>
        </xdr:cNvSpPr>
      </xdr:nvSpPr>
      <xdr:spPr>
        <a:xfrm>
          <a:off x="3181350" y="581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50" name="Line 750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51" name="Line 751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52" name="Line 752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53" name="Line 753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54" name="Line 754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55" name="Line 755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56" name="Line 756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57" name="Line 757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58" name="Line 758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59" name="Line 759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60" name="Line 760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61" name="Line 761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62" name="Line 762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63" name="Line 763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64" name="Line 764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65" name="Line 765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66" name="Line 766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67" name="Line 767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68" name="Line 768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69" name="Line 769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70" name="Line 770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71" name="Line 771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72" name="Line 772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73" name="Line 773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74" name="Line 774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75" name="Line 775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76" name="Line 776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77" name="Line 777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78" name="Line 778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79" name="Line 779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780" name="Line 780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781" name="Line 781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782" name="Line 782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783" name="Line 783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784" name="Line 784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785" name="Line 785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786" name="Line 786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787" name="Line 787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788" name="Line 788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789" name="Line 789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790" name="Line 790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791" name="Line 791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792" name="Line 792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793" name="Line 793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794" name="Line 794"/>
        <xdr:cNvSpPr>
          <a:spLocks/>
        </xdr:cNvSpPr>
      </xdr:nvSpPr>
      <xdr:spPr>
        <a:xfrm>
          <a:off x="31813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795" name="Line 795"/>
        <xdr:cNvSpPr>
          <a:spLocks/>
        </xdr:cNvSpPr>
      </xdr:nvSpPr>
      <xdr:spPr>
        <a:xfrm>
          <a:off x="31813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796" name="Line 796"/>
        <xdr:cNvSpPr>
          <a:spLocks/>
        </xdr:cNvSpPr>
      </xdr:nvSpPr>
      <xdr:spPr>
        <a:xfrm>
          <a:off x="31813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797" name="Line 797"/>
        <xdr:cNvSpPr>
          <a:spLocks/>
        </xdr:cNvSpPr>
      </xdr:nvSpPr>
      <xdr:spPr>
        <a:xfrm>
          <a:off x="31813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798" name="Line 798"/>
        <xdr:cNvSpPr>
          <a:spLocks/>
        </xdr:cNvSpPr>
      </xdr:nvSpPr>
      <xdr:spPr>
        <a:xfrm>
          <a:off x="31813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799" name="Line 799"/>
        <xdr:cNvSpPr>
          <a:spLocks/>
        </xdr:cNvSpPr>
      </xdr:nvSpPr>
      <xdr:spPr>
        <a:xfrm>
          <a:off x="3181350" y="581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800" name="Line 800"/>
        <xdr:cNvSpPr>
          <a:spLocks/>
        </xdr:cNvSpPr>
      </xdr:nvSpPr>
      <xdr:spPr>
        <a:xfrm>
          <a:off x="3181350" y="581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801" name="Line 801"/>
        <xdr:cNvSpPr>
          <a:spLocks/>
        </xdr:cNvSpPr>
      </xdr:nvSpPr>
      <xdr:spPr>
        <a:xfrm>
          <a:off x="3181350" y="581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802" name="Line 802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803" name="Line 803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804" name="Line 804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805" name="Line 805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806" name="Line 806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807" name="Line 807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808" name="Line 808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809" name="Line 809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810" name="Line 810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811" name="Line 811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812" name="Line 812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813" name="Line 813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814" name="Line 814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815" name="Line 815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816" name="Line 816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817" name="Line 817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818" name="Line 818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819" name="Line 819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820" name="Line 820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821" name="Line 821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822" name="Line 822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823" name="Line 823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824" name="Line 824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825" name="Line 825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161925</xdr:rowOff>
    </xdr:from>
    <xdr:to>
      <xdr:col>3</xdr:col>
      <xdr:colOff>0</xdr:colOff>
      <xdr:row>14</xdr:row>
      <xdr:rowOff>161925</xdr:rowOff>
    </xdr:to>
    <xdr:sp>
      <xdr:nvSpPr>
        <xdr:cNvPr id="826" name="Line 826"/>
        <xdr:cNvSpPr>
          <a:spLocks/>
        </xdr:cNvSpPr>
      </xdr:nvSpPr>
      <xdr:spPr>
        <a:xfrm>
          <a:off x="3181350" y="250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266700</xdr:rowOff>
    </xdr:from>
    <xdr:to>
      <xdr:col>3</xdr:col>
      <xdr:colOff>0</xdr:colOff>
      <xdr:row>15</xdr:row>
      <xdr:rowOff>266700</xdr:rowOff>
    </xdr:to>
    <xdr:sp>
      <xdr:nvSpPr>
        <xdr:cNvPr id="827" name="Line 827"/>
        <xdr:cNvSpPr>
          <a:spLocks/>
        </xdr:cNvSpPr>
      </xdr:nvSpPr>
      <xdr:spPr>
        <a:xfrm>
          <a:off x="3181350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266700</xdr:rowOff>
    </xdr:from>
    <xdr:to>
      <xdr:col>3</xdr:col>
      <xdr:colOff>0</xdr:colOff>
      <xdr:row>15</xdr:row>
      <xdr:rowOff>266700</xdr:rowOff>
    </xdr:to>
    <xdr:sp>
      <xdr:nvSpPr>
        <xdr:cNvPr id="828" name="Line 828"/>
        <xdr:cNvSpPr>
          <a:spLocks/>
        </xdr:cNvSpPr>
      </xdr:nvSpPr>
      <xdr:spPr>
        <a:xfrm>
          <a:off x="3181350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829" name="Line 829"/>
        <xdr:cNvSpPr>
          <a:spLocks/>
        </xdr:cNvSpPr>
      </xdr:nvSpPr>
      <xdr:spPr>
        <a:xfrm>
          <a:off x="318135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830" name="Line 830"/>
        <xdr:cNvSpPr>
          <a:spLocks/>
        </xdr:cNvSpPr>
      </xdr:nvSpPr>
      <xdr:spPr>
        <a:xfrm>
          <a:off x="318135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161925</xdr:rowOff>
    </xdr:from>
    <xdr:to>
      <xdr:col>3</xdr:col>
      <xdr:colOff>0</xdr:colOff>
      <xdr:row>16</xdr:row>
      <xdr:rowOff>161925</xdr:rowOff>
    </xdr:to>
    <xdr:sp>
      <xdr:nvSpPr>
        <xdr:cNvPr id="831" name="Line 831"/>
        <xdr:cNvSpPr>
          <a:spLocks/>
        </xdr:cNvSpPr>
      </xdr:nvSpPr>
      <xdr:spPr>
        <a:xfrm>
          <a:off x="3181350" y="297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180975</xdr:rowOff>
    </xdr:from>
    <xdr:to>
      <xdr:col>3</xdr:col>
      <xdr:colOff>0</xdr:colOff>
      <xdr:row>17</xdr:row>
      <xdr:rowOff>180975</xdr:rowOff>
    </xdr:to>
    <xdr:sp>
      <xdr:nvSpPr>
        <xdr:cNvPr id="832" name="Line 832"/>
        <xdr:cNvSpPr>
          <a:spLocks/>
        </xdr:cNvSpPr>
      </xdr:nvSpPr>
      <xdr:spPr>
        <a:xfrm>
          <a:off x="3181350" y="315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180975</xdr:rowOff>
    </xdr:from>
    <xdr:to>
      <xdr:col>3</xdr:col>
      <xdr:colOff>0</xdr:colOff>
      <xdr:row>17</xdr:row>
      <xdr:rowOff>180975</xdr:rowOff>
    </xdr:to>
    <xdr:sp>
      <xdr:nvSpPr>
        <xdr:cNvPr id="833" name="Line 833"/>
        <xdr:cNvSpPr>
          <a:spLocks/>
        </xdr:cNvSpPr>
      </xdr:nvSpPr>
      <xdr:spPr>
        <a:xfrm>
          <a:off x="3181350" y="315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834" name="Line 834"/>
        <xdr:cNvSpPr>
          <a:spLocks/>
        </xdr:cNvSpPr>
      </xdr:nvSpPr>
      <xdr:spPr>
        <a:xfrm>
          <a:off x="3181350" y="345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835" name="Line 835"/>
        <xdr:cNvSpPr>
          <a:spLocks/>
        </xdr:cNvSpPr>
      </xdr:nvSpPr>
      <xdr:spPr>
        <a:xfrm>
          <a:off x="3181350" y="345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836" name="Line 836"/>
        <xdr:cNvSpPr>
          <a:spLocks/>
        </xdr:cNvSpPr>
      </xdr:nvSpPr>
      <xdr:spPr>
        <a:xfrm>
          <a:off x="3181350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837" name="Line 837"/>
        <xdr:cNvSpPr>
          <a:spLocks/>
        </xdr:cNvSpPr>
      </xdr:nvSpPr>
      <xdr:spPr>
        <a:xfrm>
          <a:off x="3181350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161925</xdr:rowOff>
    </xdr:from>
    <xdr:to>
      <xdr:col>3</xdr:col>
      <xdr:colOff>0</xdr:colOff>
      <xdr:row>20</xdr:row>
      <xdr:rowOff>161925</xdr:rowOff>
    </xdr:to>
    <xdr:sp>
      <xdr:nvSpPr>
        <xdr:cNvPr id="838" name="Line 838"/>
        <xdr:cNvSpPr>
          <a:spLocks/>
        </xdr:cNvSpPr>
      </xdr:nvSpPr>
      <xdr:spPr>
        <a:xfrm>
          <a:off x="31813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161925</xdr:rowOff>
    </xdr:from>
    <xdr:to>
      <xdr:col>3</xdr:col>
      <xdr:colOff>0</xdr:colOff>
      <xdr:row>21</xdr:row>
      <xdr:rowOff>161925</xdr:rowOff>
    </xdr:to>
    <xdr:sp>
      <xdr:nvSpPr>
        <xdr:cNvPr id="839" name="Line 839"/>
        <xdr:cNvSpPr>
          <a:spLocks/>
        </xdr:cNvSpPr>
      </xdr:nvSpPr>
      <xdr:spPr>
        <a:xfrm>
          <a:off x="318135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161925</xdr:rowOff>
    </xdr:from>
    <xdr:to>
      <xdr:col>3</xdr:col>
      <xdr:colOff>0</xdr:colOff>
      <xdr:row>21</xdr:row>
      <xdr:rowOff>161925</xdr:rowOff>
    </xdr:to>
    <xdr:sp>
      <xdr:nvSpPr>
        <xdr:cNvPr id="840" name="Line 840"/>
        <xdr:cNvSpPr>
          <a:spLocks/>
        </xdr:cNvSpPr>
      </xdr:nvSpPr>
      <xdr:spPr>
        <a:xfrm>
          <a:off x="318135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841" name="Line 841"/>
        <xdr:cNvSpPr>
          <a:spLocks/>
        </xdr:cNvSpPr>
      </xdr:nvSpPr>
      <xdr:spPr>
        <a:xfrm>
          <a:off x="318135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842" name="Line 842"/>
        <xdr:cNvSpPr>
          <a:spLocks/>
        </xdr:cNvSpPr>
      </xdr:nvSpPr>
      <xdr:spPr>
        <a:xfrm>
          <a:off x="318135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>
      <xdr:nvSpPr>
        <xdr:cNvPr id="843" name="Line 843"/>
        <xdr:cNvSpPr>
          <a:spLocks/>
        </xdr:cNvSpPr>
      </xdr:nvSpPr>
      <xdr:spPr>
        <a:xfrm>
          <a:off x="3181350" y="410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>
      <xdr:nvSpPr>
        <xdr:cNvPr id="844" name="Line 844"/>
        <xdr:cNvSpPr>
          <a:spLocks/>
        </xdr:cNvSpPr>
      </xdr:nvSpPr>
      <xdr:spPr>
        <a:xfrm>
          <a:off x="3181350" y="410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228600</xdr:rowOff>
    </xdr:from>
    <xdr:to>
      <xdr:col>3</xdr:col>
      <xdr:colOff>0</xdr:colOff>
      <xdr:row>23</xdr:row>
      <xdr:rowOff>228600</xdr:rowOff>
    </xdr:to>
    <xdr:sp>
      <xdr:nvSpPr>
        <xdr:cNvPr id="845" name="Line 845"/>
        <xdr:cNvSpPr>
          <a:spLocks/>
        </xdr:cNvSpPr>
      </xdr:nvSpPr>
      <xdr:spPr>
        <a:xfrm>
          <a:off x="318135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>
      <xdr:nvSpPr>
        <xdr:cNvPr id="846" name="Line 846"/>
        <xdr:cNvSpPr>
          <a:spLocks/>
        </xdr:cNvSpPr>
      </xdr:nvSpPr>
      <xdr:spPr>
        <a:xfrm>
          <a:off x="3181350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>
      <xdr:nvSpPr>
        <xdr:cNvPr id="847" name="Line 847"/>
        <xdr:cNvSpPr>
          <a:spLocks/>
        </xdr:cNvSpPr>
      </xdr:nvSpPr>
      <xdr:spPr>
        <a:xfrm>
          <a:off x="3181350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848" name="Line 848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849" name="Line 849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850" name="Line 850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851" name="Line 851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852" name="Line 852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853" name="Line 853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854" name="Line 854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855" name="Line 855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856" name="Line 856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857" name="Line 857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858" name="Line 858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859" name="Line 859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860" name="Line 860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861" name="Line 861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862" name="Line 862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863" name="Line 863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864" name="Line 864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865" name="Line 865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866" name="Line 866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867" name="Line 867"/>
        <xdr:cNvSpPr>
          <a:spLocks/>
        </xdr:cNvSpPr>
      </xdr:nvSpPr>
      <xdr:spPr>
        <a:xfrm>
          <a:off x="31813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868" name="Line 868"/>
        <xdr:cNvSpPr>
          <a:spLocks/>
        </xdr:cNvSpPr>
      </xdr:nvSpPr>
      <xdr:spPr>
        <a:xfrm>
          <a:off x="31813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869" name="Line 869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870" name="Line 870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871" name="Line 871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872" name="Line 872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873" name="Line 873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874" name="Line 874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875" name="Line 875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876" name="Line 876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877" name="Line 877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878" name="Line 878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879" name="Line 879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880" name="Line 880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881" name="Line 881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882" name="Line 882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883" name="Line 883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152400</xdr:rowOff>
    </xdr:from>
    <xdr:to>
      <xdr:col>3</xdr:col>
      <xdr:colOff>0</xdr:colOff>
      <xdr:row>26</xdr:row>
      <xdr:rowOff>152400</xdr:rowOff>
    </xdr:to>
    <xdr:sp>
      <xdr:nvSpPr>
        <xdr:cNvPr id="884" name="Line 884"/>
        <xdr:cNvSpPr>
          <a:spLocks/>
        </xdr:cNvSpPr>
      </xdr:nvSpPr>
      <xdr:spPr>
        <a:xfrm>
          <a:off x="31813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152400</xdr:rowOff>
    </xdr:from>
    <xdr:to>
      <xdr:col>3</xdr:col>
      <xdr:colOff>0</xdr:colOff>
      <xdr:row>26</xdr:row>
      <xdr:rowOff>152400</xdr:rowOff>
    </xdr:to>
    <xdr:sp>
      <xdr:nvSpPr>
        <xdr:cNvPr id="885" name="Line 885"/>
        <xdr:cNvSpPr>
          <a:spLocks/>
        </xdr:cNvSpPr>
      </xdr:nvSpPr>
      <xdr:spPr>
        <a:xfrm>
          <a:off x="31813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886" name="Line 886"/>
        <xdr:cNvSpPr>
          <a:spLocks/>
        </xdr:cNvSpPr>
      </xdr:nvSpPr>
      <xdr:spPr>
        <a:xfrm>
          <a:off x="3181350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887" name="Line 887"/>
        <xdr:cNvSpPr>
          <a:spLocks/>
        </xdr:cNvSpPr>
      </xdr:nvSpPr>
      <xdr:spPr>
        <a:xfrm>
          <a:off x="3181350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888" name="Line 888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889" name="Line 889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890" name="Line 890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891" name="Line 891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892" name="Line 892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893" name="Line 893"/>
        <xdr:cNvSpPr>
          <a:spLocks/>
        </xdr:cNvSpPr>
      </xdr:nvSpPr>
      <xdr:spPr>
        <a:xfrm>
          <a:off x="318135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894" name="Line 894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895" name="Line 895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896" name="Line 896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897" name="Line 897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898" name="Line 898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899" name="Line 899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900" name="Line 900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901" name="Line 901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902" name="Line 902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903" name="Line 903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904" name="Line 904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905" name="Line 905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906" name="Line 906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907" name="Line 907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908" name="Line 908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909" name="Line 909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910" name="Line 910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911" name="Line 911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912" name="Line 912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913" name="Line 913"/>
        <xdr:cNvSpPr>
          <a:spLocks/>
        </xdr:cNvSpPr>
      </xdr:nvSpPr>
      <xdr:spPr>
        <a:xfrm>
          <a:off x="3181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914" name="Line 914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915" name="Line 915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916" name="Line 916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917" name="Line 917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918" name="Line 918"/>
        <xdr:cNvSpPr>
          <a:spLocks/>
        </xdr:cNvSpPr>
      </xdr:nvSpPr>
      <xdr:spPr>
        <a:xfrm>
          <a:off x="31813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1" name="Line 6"/>
        <xdr:cNvSpPr>
          <a:spLocks/>
        </xdr:cNvSpPr>
      </xdr:nvSpPr>
      <xdr:spPr>
        <a:xfrm>
          <a:off x="1514475" y="3333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sp>
      <xdr:nvSpPr>
        <xdr:cNvPr id="2" name="Line 7"/>
        <xdr:cNvSpPr>
          <a:spLocks/>
        </xdr:cNvSpPr>
      </xdr:nvSpPr>
      <xdr:spPr>
        <a:xfrm>
          <a:off x="1504950" y="3333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3" name="Line 8"/>
        <xdr:cNvSpPr>
          <a:spLocks/>
        </xdr:cNvSpPr>
      </xdr:nvSpPr>
      <xdr:spPr>
        <a:xfrm>
          <a:off x="1514475" y="3333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4" name="Line 9"/>
        <xdr:cNvSpPr>
          <a:spLocks/>
        </xdr:cNvSpPr>
      </xdr:nvSpPr>
      <xdr:spPr>
        <a:xfrm>
          <a:off x="1514475" y="3333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5" name="Line 10"/>
        <xdr:cNvSpPr>
          <a:spLocks/>
        </xdr:cNvSpPr>
      </xdr:nvSpPr>
      <xdr:spPr>
        <a:xfrm>
          <a:off x="1514475" y="3333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6" name="Line 11"/>
        <xdr:cNvSpPr>
          <a:spLocks/>
        </xdr:cNvSpPr>
      </xdr:nvSpPr>
      <xdr:spPr>
        <a:xfrm>
          <a:off x="1514475" y="3333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sp>
      <xdr:nvSpPr>
        <xdr:cNvPr id="7" name="Line 12"/>
        <xdr:cNvSpPr>
          <a:spLocks/>
        </xdr:cNvSpPr>
      </xdr:nvSpPr>
      <xdr:spPr>
        <a:xfrm>
          <a:off x="1504950" y="3333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8" name="Line 13"/>
        <xdr:cNvSpPr>
          <a:spLocks/>
        </xdr:cNvSpPr>
      </xdr:nvSpPr>
      <xdr:spPr>
        <a:xfrm>
          <a:off x="1514475" y="3333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9" name="Line 14"/>
        <xdr:cNvSpPr>
          <a:spLocks/>
        </xdr:cNvSpPr>
      </xdr:nvSpPr>
      <xdr:spPr>
        <a:xfrm>
          <a:off x="1514475" y="3333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H180"/>
  <sheetViews>
    <sheetView workbookViewId="0" topLeftCell="A1">
      <selection activeCell="H2" sqref="H2"/>
    </sheetView>
  </sheetViews>
  <sheetFormatPr defaultColWidth="9.00390625" defaultRowHeight="12.75"/>
  <cols>
    <col min="1" max="1" width="4.375" style="107" customWidth="1"/>
    <col min="2" max="2" width="6.75390625" style="107" customWidth="1"/>
    <col min="3" max="3" width="7.125" style="107" customWidth="1"/>
    <col min="4" max="4" width="35.875" style="26" customWidth="1"/>
    <col min="5" max="5" width="15.125" style="117" hidden="1" customWidth="1"/>
    <col min="6" max="6" width="12.625" style="120" customWidth="1"/>
    <col min="7" max="7" width="13.00390625" style="31" customWidth="1"/>
    <col min="8" max="8" width="12.75390625" style="233" customWidth="1"/>
    <col min="9" max="16384" width="9.125" style="26" customWidth="1"/>
  </cols>
  <sheetData>
    <row r="1" spans="1:8" ht="18">
      <c r="A1" s="116"/>
      <c r="F1" s="118"/>
      <c r="H1" s="48" t="s">
        <v>581</v>
      </c>
    </row>
    <row r="2" spans="6:8" ht="16.5">
      <c r="F2" s="119"/>
      <c r="H2" s="60" t="s">
        <v>761</v>
      </c>
    </row>
    <row r="3" spans="6:8" ht="16.5">
      <c r="F3" s="119"/>
      <c r="H3" s="60" t="s">
        <v>24</v>
      </c>
    </row>
    <row r="4" ht="9" customHeight="1"/>
    <row r="5" spans="1:8" s="143" customFormat="1" ht="18">
      <c r="A5" s="139" t="s">
        <v>756</v>
      </c>
      <c r="B5" s="108"/>
      <c r="C5" s="140"/>
      <c r="D5" s="98"/>
      <c r="E5" s="141"/>
      <c r="F5" s="142"/>
      <c r="G5" s="231"/>
      <c r="H5" s="234"/>
    </row>
    <row r="6" spans="1:8" s="143" customFormat="1" ht="18">
      <c r="A6" s="140"/>
      <c r="B6" s="108"/>
      <c r="C6" s="144"/>
      <c r="D6" s="145" t="s">
        <v>10</v>
      </c>
      <c r="E6" s="141"/>
      <c r="F6" s="142"/>
      <c r="G6" s="231"/>
      <c r="H6" s="234"/>
    </row>
    <row r="7" spans="2:5" ht="9" customHeight="1">
      <c r="B7" s="108"/>
      <c r="C7" s="109"/>
      <c r="D7" s="110"/>
      <c r="E7" s="121"/>
    </row>
    <row r="8" spans="1:8" s="24" customFormat="1" ht="12">
      <c r="A8" s="804" t="s">
        <v>295</v>
      </c>
      <c r="B8" s="804" t="s">
        <v>296</v>
      </c>
      <c r="C8" s="804" t="s">
        <v>392</v>
      </c>
      <c r="D8" s="806" t="s">
        <v>297</v>
      </c>
      <c r="E8" s="801" t="s">
        <v>11</v>
      </c>
      <c r="F8" s="801" t="s">
        <v>12</v>
      </c>
      <c r="G8" s="803" t="s">
        <v>724</v>
      </c>
      <c r="H8" s="803"/>
    </row>
    <row r="9" spans="1:8" s="24" customFormat="1" ht="12">
      <c r="A9" s="805"/>
      <c r="B9" s="805"/>
      <c r="C9" s="805"/>
      <c r="D9" s="807"/>
      <c r="E9" s="802"/>
      <c r="F9" s="802"/>
      <c r="G9" s="33" t="s">
        <v>725</v>
      </c>
      <c r="H9" s="232" t="s">
        <v>726</v>
      </c>
    </row>
    <row r="10" spans="1:8" s="34" customFormat="1" ht="12.75">
      <c r="A10" s="146">
        <v>1</v>
      </c>
      <c r="B10" s="146">
        <v>2</v>
      </c>
      <c r="C10" s="146">
        <v>3</v>
      </c>
      <c r="D10" s="90">
        <v>4</v>
      </c>
      <c r="E10" s="147">
        <v>5</v>
      </c>
      <c r="F10" s="147">
        <v>6</v>
      </c>
      <c r="G10" s="147">
        <v>7</v>
      </c>
      <c r="H10" s="147">
        <v>8</v>
      </c>
    </row>
    <row r="11" spans="1:8" s="25" customFormat="1" ht="12.75">
      <c r="A11" s="105" t="s">
        <v>393</v>
      </c>
      <c r="B11" s="105"/>
      <c r="C11" s="105"/>
      <c r="D11" s="100" t="s">
        <v>394</v>
      </c>
      <c r="E11" s="367">
        <f>SUM(E12)</f>
        <v>6800</v>
      </c>
      <c r="F11" s="367">
        <f>SUM(F12)</f>
        <v>10000</v>
      </c>
      <c r="G11" s="367">
        <f>SUM(G12)</f>
        <v>10000</v>
      </c>
      <c r="H11" s="367">
        <f>SUM(H12)</f>
        <v>0</v>
      </c>
    </row>
    <row r="12" spans="1:8" s="25" customFormat="1" ht="25.5">
      <c r="A12" s="128"/>
      <c r="B12" s="105" t="s">
        <v>395</v>
      </c>
      <c r="C12" s="105"/>
      <c r="D12" s="100" t="s">
        <v>396</v>
      </c>
      <c r="E12" s="367">
        <f>E13</f>
        <v>6800</v>
      </c>
      <c r="F12" s="367">
        <f>F13</f>
        <v>10000</v>
      </c>
      <c r="G12" s="367">
        <f>G13</f>
        <v>10000</v>
      </c>
      <c r="H12" s="367">
        <f>H13</f>
        <v>0</v>
      </c>
    </row>
    <row r="13" spans="1:8" s="25" customFormat="1" ht="48">
      <c r="A13" s="127"/>
      <c r="B13" s="105"/>
      <c r="C13" s="105" t="s">
        <v>397</v>
      </c>
      <c r="D13" s="47" t="s">
        <v>514</v>
      </c>
      <c r="E13" s="551">
        <v>6800</v>
      </c>
      <c r="F13" s="551">
        <v>10000</v>
      </c>
      <c r="G13" s="376">
        <f>SUM(F13)</f>
        <v>10000</v>
      </c>
      <c r="H13" s="377">
        <v>0</v>
      </c>
    </row>
    <row r="14" spans="1:8" s="25" customFormat="1" ht="12.75">
      <c r="A14" s="105" t="s">
        <v>399</v>
      </c>
      <c r="B14" s="105"/>
      <c r="C14" s="105"/>
      <c r="D14" s="100" t="s">
        <v>400</v>
      </c>
      <c r="E14" s="367">
        <f>SUM(E15)</f>
        <v>476000</v>
      </c>
      <c r="F14" s="367">
        <f>SUM(F15)</f>
        <v>482000</v>
      </c>
      <c r="G14" s="367">
        <f>SUM(G15)</f>
        <v>482000</v>
      </c>
      <c r="H14" s="367">
        <f>SUM(H15)</f>
        <v>0</v>
      </c>
    </row>
    <row r="15" spans="1:8" s="25" customFormat="1" ht="12.75">
      <c r="A15" s="127"/>
      <c r="B15" s="105" t="s">
        <v>401</v>
      </c>
      <c r="C15" s="105"/>
      <c r="D15" s="100" t="s">
        <v>402</v>
      </c>
      <c r="E15" s="367">
        <f>E16</f>
        <v>476000</v>
      </c>
      <c r="F15" s="367">
        <f>F16</f>
        <v>482000</v>
      </c>
      <c r="G15" s="367">
        <f>G16</f>
        <v>482000</v>
      </c>
      <c r="H15" s="367">
        <f>H16</f>
        <v>0</v>
      </c>
    </row>
    <row r="16" spans="1:8" s="25" customFormat="1" ht="48">
      <c r="A16" s="127"/>
      <c r="B16" s="105"/>
      <c r="C16" s="105" t="s">
        <v>403</v>
      </c>
      <c r="D16" s="47" t="s">
        <v>404</v>
      </c>
      <c r="E16" s="551">
        <v>476000</v>
      </c>
      <c r="F16" s="551">
        <v>482000</v>
      </c>
      <c r="G16" s="376">
        <f>SUM(F16)</f>
        <v>482000</v>
      </c>
      <c r="H16" s="377">
        <v>0</v>
      </c>
    </row>
    <row r="17" spans="1:8" s="25" customFormat="1" ht="12.75">
      <c r="A17" s="128" t="s">
        <v>405</v>
      </c>
      <c r="B17" s="105"/>
      <c r="C17" s="105"/>
      <c r="D17" s="100" t="s">
        <v>406</v>
      </c>
      <c r="E17" s="367">
        <f>SUM(E18)</f>
        <v>12446</v>
      </c>
      <c r="F17" s="367">
        <f>SUM(F18)</f>
        <v>12038502</v>
      </c>
      <c r="G17" s="367">
        <f>SUM(G18)</f>
        <v>1030762</v>
      </c>
      <c r="H17" s="367">
        <f>SUM(H18)</f>
        <v>11007740</v>
      </c>
    </row>
    <row r="18" spans="1:8" s="25" customFormat="1" ht="12.75">
      <c r="A18" s="128"/>
      <c r="B18" s="131" t="s">
        <v>407</v>
      </c>
      <c r="C18" s="105"/>
      <c r="D18" s="100" t="s">
        <v>408</v>
      </c>
      <c r="E18" s="367">
        <f>SUM(E19:E27)</f>
        <v>12446</v>
      </c>
      <c r="F18" s="367">
        <f>SUM(F19:F27)</f>
        <v>12038502</v>
      </c>
      <c r="G18" s="367">
        <f>SUM(G19:G27)</f>
        <v>1030762</v>
      </c>
      <c r="H18" s="367">
        <f>SUM(H19:H27)</f>
        <v>11007740</v>
      </c>
    </row>
    <row r="19" spans="1:8" s="25" customFormat="1" ht="12.75">
      <c r="A19" s="132"/>
      <c r="B19" s="128"/>
      <c r="C19" s="129" t="s">
        <v>436</v>
      </c>
      <c r="D19" s="552" t="s">
        <v>437</v>
      </c>
      <c r="E19" s="376">
        <v>171</v>
      </c>
      <c r="F19" s="376">
        <v>100</v>
      </c>
      <c r="G19" s="376">
        <f>SUM(F19)</f>
        <v>100</v>
      </c>
      <c r="H19" s="377">
        <v>0</v>
      </c>
    </row>
    <row r="20" spans="1:8" s="25" customFormat="1" ht="60.75" customHeight="1">
      <c r="A20" s="132"/>
      <c r="B20" s="127"/>
      <c r="C20" s="129" t="s">
        <v>476</v>
      </c>
      <c r="D20" s="552" t="s">
        <v>7</v>
      </c>
      <c r="E20" s="376">
        <v>153</v>
      </c>
      <c r="F20" s="376">
        <v>100</v>
      </c>
      <c r="G20" s="376">
        <f>SUM(F20)</f>
        <v>100</v>
      </c>
      <c r="H20" s="377">
        <v>0</v>
      </c>
    </row>
    <row r="21" spans="1:8" s="25" customFormat="1" ht="12.75">
      <c r="A21" s="132"/>
      <c r="B21" s="127"/>
      <c r="C21" s="129" t="s">
        <v>409</v>
      </c>
      <c r="D21" s="47" t="s">
        <v>410</v>
      </c>
      <c r="E21" s="551">
        <v>2100</v>
      </c>
      <c r="F21" s="551">
        <v>1570</v>
      </c>
      <c r="G21" s="376">
        <f>SUM(F21)</f>
        <v>1570</v>
      </c>
      <c r="H21" s="377">
        <v>0</v>
      </c>
    </row>
    <row r="22" spans="1:8" s="25" customFormat="1" ht="12.75">
      <c r="A22" s="132"/>
      <c r="B22" s="127"/>
      <c r="C22" s="129" t="s">
        <v>619</v>
      </c>
      <c r="D22" s="553" t="s">
        <v>622</v>
      </c>
      <c r="E22" s="551">
        <v>220</v>
      </c>
      <c r="F22" s="551">
        <v>230</v>
      </c>
      <c r="G22" s="376">
        <f>SUM(F22)</f>
        <v>230</v>
      </c>
      <c r="H22" s="377">
        <v>0</v>
      </c>
    </row>
    <row r="23" spans="1:8" s="25" customFormat="1" ht="36.75" customHeight="1">
      <c r="A23" s="132"/>
      <c r="B23" s="127"/>
      <c r="C23" s="129" t="s">
        <v>15</v>
      </c>
      <c r="D23" s="552" t="s">
        <v>28</v>
      </c>
      <c r="E23" s="551">
        <v>0</v>
      </c>
      <c r="F23" s="551">
        <v>1028762</v>
      </c>
      <c r="G23" s="376">
        <f>SUM(F23)</f>
        <v>1028762</v>
      </c>
      <c r="H23" s="377">
        <v>0</v>
      </c>
    </row>
    <row r="24" spans="1:8" s="25" customFormat="1" ht="12.75">
      <c r="A24" s="132"/>
      <c r="B24" s="127"/>
      <c r="C24" s="129" t="s">
        <v>720</v>
      </c>
      <c r="D24" s="47" t="s">
        <v>722</v>
      </c>
      <c r="E24" s="551">
        <v>0</v>
      </c>
      <c r="F24" s="551">
        <v>7101146</v>
      </c>
      <c r="G24" s="376">
        <v>0</v>
      </c>
      <c r="H24" s="377">
        <f>SUM(F24)</f>
        <v>7101146</v>
      </c>
    </row>
    <row r="25" spans="1:8" s="25" customFormat="1" ht="48" customHeight="1">
      <c r="A25" s="132"/>
      <c r="B25" s="127"/>
      <c r="C25" s="129" t="s">
        <v>17</v>
      </c>
      <c r="D25" s="47" t="s">
        <v>25</v>
      </c>
      <c r="E25" s="551">
        <v>0</v>
      </c>
      <c r="F25" s="551">
        <f>769000+145500</f>
        <v>914500</v>
      </c>
      <c r="G25" s="376">
        <v>0</v>
      </c>
      <c r="H25" s="377">
        <f>SUM(F25)</f>
        <v>914500</v>
      </c>
    </row>
    <row r="26" spans="1:8" s="25" customFormat="1" ht="49.5" customHeight="1">
      <c r="A26" s="132"/>
      <c r="B26" s="127"/>
      <c r="C26" s="129" t="s">
        <v>16</v>
      </c>
      <c r="D26" s="47" t="s">
        <v>36</v>
      </c>
      <c r="E26" s="551">
        <v>9802</v>
      </c>
      <c r="F26" s="551">
        <v>2992094</v>
      </c>
      <c r="G26" s="376">
        <v>0</v>
      </c>
      <c r="H26" s="377">
        <f>SUM(F26)</f>
        <v>2992094</v>
      </c>
    </row>
    <row r="27" spans="1:8" s="25" customFormat="1" ht="49.5" customHeight="1">
      <c r="A27" s="133"/>
      <c r="B27" s="134"/>
      <c r="C27" s="135" t="s">
        <v>618</v>
      </c>
      <c r="D27" s="553" t="s">
        <v>705</v>
      </c>
      <c r="E27" s="715">
        <v>0</v>
      </c>
      <c r="F27" s="715">
        <v>0</v>
      </c>
      <c r="G27" s="573">
        <v>0</v>
      </c>
      <c r="H27" s="548">
        <f>SUM(F27)</f>
        <v>0</v>
      </c>
    </row>
    <row r="28" spans="1:8" s="25" customFormat="1" ht="12.75">
      <c r="A28" s="127" t="s">
        <v>18</v>
      </c>
      <c r="B28" s="134"/>
      <c r="C28" s="105"/>
      <c r="D28" s="100" t="s">
        <v>38</v>
      </c>
      <c r="E28" s="367">
        <f aca="true" t="shared" si="0" ref="E28:H29">SUM(E29)</f>
        <v>0</v>
      </c>
      <c r="F28" s="367">
        <f t="shared" si="0"/>
        <v>70000</v>
      </c>
      <c r="G28" s="367">
        <f t="shared" si="0"/>
        <v>0</v>
      </c>
      <c r="H28" s="367">
        <f t="shared" si="0"/>
        <v>70000</v>
      </c>
    </row>
    <row r="29" spans="1:8" s="25" customFormat="1" ht="25.5">
      <c r="A29" s="128"/>
      <c r="B29" s="131" t="s">
        <v>19</v>
      </c>
      <c r="C29" s="105"/>
      <c r="D29" s="100" t="s">
        <v>39</v>
      </c>
      <c r="E29" s="367">
        <f t="shared" si="0"/>
        <v>0</v>
      </c>
      <c r="F29" s="367">
        <f t="shared" si="0"/>
        <v>70000</v>
      </c>
      <c r="G29" s="367">
        <f t="shared" si="0"/>
        <v>0</v>
      </c>
      <c r="H29" s="367">
        <f t="shared" si="0"/>
        <v>70000</v>
      </c>
    </row>
    <row r="30" spans="1:8" s="25" customFormat="1" ht="48.75" customHeight="1">
      <c r="A30" s="127"/>
      <c r="B30" s="131"/>
      <c r="C30" s="129" t="s">
        <v>20</v>
      </c>
      <c r="D30" s="553" t="s">
        <v>705</v>
      </c>
      <c r="E30" s="551">
        <v>0</v>
      </c>
      <c r="F30" s="551">
        <v>70000</v>
      </c>
      <c r="G30" s="376">
        <v>0</v>
      </c>
      <c r="H30" s="377">
        <v>70000</v>
      </c>
    </row>
    <row r="31" spans="1:8" s="25" customFormat="1" ht="12.75">
      <c r="A31" s="128" t="s">
        <v>411</v>
      </c>
      <c r="B31" s="105"/>
      <c r="C31" s="105"/>
      <c r="D31" s="100" t="s">
        <v>412</v>
      </c>
      <c r="E31" s="367">
        <f>SUM(E32)</f>
        <v>88020</v>
      </c>
      <c r="F31" s="367">
        <f>SUM(F32)</f>
        <v>163044</v>
      </c>
      <c r="G31" s="367">
        <f>SUM(G32)</f>
        <v>26000</v>
      </c>
      <c r="H31" s="367">
        <f>SUM(H32)</f>
        <v>137044</v>
      </c>
    </row>
    <row r="32" spans="1:8" s="25" customFormat="1" ht="25.5">
      <c r="A32" s="128"/>
      <c r="B32" s="131" t="s">
        <v>413</v>
      </c>
      <c r="C32" s="105"/>
      <c r="D32" s="100" t="s">
        <v>414</v>
      </c>
      <c r="E32" s="367">
        <f>SUM(E33:E37)</f>
        <v>88020</v>
      </c>
      <c r="F32" s="367">
        <f>SUM(F33:F37)</f>
        <v>163044</v>
      </c>
      <c r="G32" s="367">
        <f>SUM(G33:G37)</f>
        <v>26000</v>
      </c>
      <c r="H32" s="367">
        <f>SUM(H33:H37)</f>
        <v>137044</v>
      </c>
    </row>
    <row r="33" spans="1:8" s="25" customFormat="1" ht="59.25" customHeight="1">
      <c r="A33" s="133"/>
      <c r="B33" s="105"/>
      <c r="C33" s="129" t="s">
        <v>476</v>
      </c>
      <c r="D33" s="47" t="s">
        <v>7</v>
      </c>
      <c r="E33" s="551">
        <v>7000</v>
      </c>
      <c r="F33" s="551">
        <v>7000</v>
      </c>
      <c r="G33" s="376">
        <f>SUM(F33)</f>
        <v>7000</v>
      </c>
      <c r="H33" s="377">
        <v>0</v>
      </c>
    </row>
    <row r="34" spans="1:8" s="25" customFormat="1" ht="12.75">
      <c r="A34" s="726" t="s">
        <v>411</v>
      </c>
      <c r="B34" s="105" t="s">
        <v>413</v>
      </c>
      <c r="C34" s="129" t="s">
        <v>415</v>
      </c>
      <c r="D34" s="47" t="s">
        <v>416</v>
      </c>
      <c r="E34" s="551">
        <v>0</v>
      </c>
      <c r="F34" s="551">
        <v>0</v>
      </c>
      <c r="G34" s="376">
        <f>SUM(F34)</f>
        <v>0</v>
      </c>
      <c r="H34" s="377">
        <v>0</v>
      </c>
    </row>
    <row r="35" spans="1:8" s="25" customFormat="1" ht="13.5" customHeight="1">
      <c r="A35" s="132"/>
      <c r="B35" s="127"/>
      <c r="C35" s="135" t="s">
        <v>417</v>
      </c>
      <c r="D35" s="85" t="s">
        <v>418</v>
      </c>
      <c r="E35" s="715">
        <v>21882</v>
      </c>
      <c r="F35" s="715">
        <v>137044</v>
      </c>
      <c r="G35" s="573">
        <v>0</v>
      </c>
      <c r="H35" s="548">
        <f>SUM(F35)</f>
        <v>137044</v>
      </c>
    </row>
    <row r="36" spans="1:8" s="25" customFormat="1" ht="12.75">
      <c r="A36" s="132"/>
      <c r="B36" s="127"/>
      <c r="C36" s="129" t="s">
        <v>619</v>
      </c>
      <c r="D36" s="554" t="s">
        <v>622</v>
      </c>
      <c r="E36" s="551">
        <v>138</v>
      </c>
      <c r="F36" s="551">
        <v>0</v>
      </c>
      <c r="G36" s="376">
        <v>0</v>
      </c>
      <c r="H36" s="377">
        <v>0</v>
      </c>
    </row>
    <row r="37" spans="1:8" s="25" customFormat="1" ht="48">
      <c r="A37" s="133"/>
      <c r="B37" s="134"/>
      <c r="C37" s="129" t="s">
        <v>397</v>
      </c>
      <c r="D37" s="47" t="s">
        <v>514</v>
      </c>
      <c r="E37" s="551">
        <v>59000</v>
      </c>
      <c r="F37" s="551">
        <v>19000</v>
      </c>
      <c r="G37" s="376">
        <f>SUM(F37)</f>
        <v>19000</v>
      </c>
      <c r="H37" s="377">
        <v>0</v>
      </c>
    </row>
    <row r="38" spans="1:8" s="25" customFormat="1" ht="12.75">
      <c r="A38" s="127" t="s">
        <v>419</v>
      </c>
      <c r="B38" s="130"/>
      <c r="C38" s="128"/>
      <c r="D38" s="716" t="s">
        <v>420</v>
      </c>
      <c r="E38" s="717">
        <f>SUM(E39,E41,E43)</f>
        <v>337411</v>
      </c>
      <c r="F38" s="717">
        <f>SUM(F39,F41,F43)</f>
        <v>337543</v>
      </c>
      <c r="G38" s="717">
        <f>SUM(G39,G41,G43)</f>
        <v>337543</v>
      </c>
      <c r="H38" s="717">
        <f>SUM(H39,H41,H43)</f>
        <v>0</v>
      </c>
    </row>
    <row r="39" spans="1:8" s="25" customFormat="1" ht="25.5">
      <c r="A39" s="128"/>
      <c r="B39" s="129" t="s">
        <v>421</v>
      </c>
      <c r="C39" s="105"/>
      <c r="D39" s="100" t="s">
        <v>515</v>
      </c>
      <c r="E39" s="367">
        <f>SUM(E40)</f>
        <v>40000</v>
      </c>
      <c r="F39" s="367">
        <f>SUM(F40)</f>
        <v>35000</v>
      </c>
      <c r="G39" s="367">
        <f>SUM(G40)</f>
        <v>35000</v>
      </c>
      <c r="H39" s="367">
        <f>SUM(H40)</f>
        <v>0</v>
      </c>
    </row>
    <row r="40" spans="1:8" s="25" customFormat="1" ht="48">
      <c r="A40" s="127"/>
      <c r="B40" s="129"/>
      <c r="C40" s="105" t="s">
        <v>397</v>
      </c>
      <c r="D40" s="47" t="s">
        <v>514</v>
      </c>
      <c r="E40" s="551">
        <v>40000</v>
      </c>
      <c r="F40" s="551">
        <v>35000</v>
      </c>
      <c r="G40" s="376">
        <f>SUM(F40)</f>
        <v>35000</v>
      </c>
      <c r="H40" s="377">
        <v>0</v>
      </c>
    </row>
    <row r="41" spans="1:8" s="25" customFormat="1" ht="25.5">
      <c r="A41" s="127"/>
      <c r="B41" s="129" t="s">
        <v>423</v>
      </c>
      <c r="C41" s="105"/>
      <c r="D41" s="100" t="s">
        <v>424</v>
      </c>
      <c r="E41" s="367">
        <f>SUM(E42)</f>
        <v>8000</v>
      </c>
      <c r="F41" s="367">
        <f>SUM(F42)</f>
        <v>10000</v>
      </c>
      <c r="G41" s="367">
        <f>SUM(G42)</f>
        <v>10000</v>
      </c>
      <c r="H41" s="367">
        <f>SUM(H42)</f>
        <v>0</v>
      </c>
    </row>
    <row r="42" spans="1:8" s="25" customFormat="1" ht="48">
      <c r="A42" s="127"/>
      <c r="B42" s="129"/>
      <c r="C42" s="105" t="s">
        <v>397</v>
      </c>
      <c r="D42" s="47" t="s">
        <v>398</v>
      </c>
      <c r="E42" s="551">
        <v>8000</v>
      </c>
      <c r="F42" s="551">
        <v>10000</v>
      </c>
      <c r="G42" s="376">
        <f>SUM(F42)</f>
        <v>10000</v>
      </c>
      <c r="H42" s="377">
        <v>0</v>
      </c>
    </row>
    <row r="43" spans="1:8" s="25" customFormat="1" ht="12.75">
      <c r="A43" s="127"/>
      <c r="B43" s="131" t="s">
        <v>425</v>
      </c>
      <c r="C43" s="105"/>
      <c r="D43" s="100" t="s">
        <v>426</v>
      </c>
      <c r="E43" s="367">
        <f>SUM(E44:E45)</f>
        <v>289411</v>
      </c>
      <c r="F43" s="367">
        <f>SUM(F45:F45)</f>
        <v>292543</v>
      </c>
      <c r="G43" s="367">
        <f>SUM(G45:G45)</f>
        <v>292543</v>
      </c>
      <c r="H43" s="367">
        <f>SUM(H45:H45)</f>
        <v>0</v>
      </c>
    </row>
    <row r="44" spans="1:8" s="25" customFormat="1" ht="12.75">
      <c r="A44" s="132"/>
      <c r="B44" s="128"/>
      <c r="C44" s="129" t="s">
        <v>409</v>
      </c>
      <c r="D44" s="47" t="s">
        <v>410</v>
      </c>
      <c r="E44" s="551">
        <v>200</v>
      </c>
      <c r="F44" s="551">
        <v>0</v>
      </c>
      <c r="G44" s="376">
        <f>SUM(F44)</f>
        <v>0</v>
      </c>
      <c r="H44" s="377">
        <v>0</v>
      </c>
    </row>
    <row r="45" spans="1:8" s="25" customFormat="1" ht="48">
      <c r="A45" s="133"/>
      <c r="B45" s="134"/>
      <c r="C45" s="129" t="s">
        <v>397</v>
      </c>
      <c r="D45" s="47" t="s">
        <v>514</v>
      </c>
      <c r="E45" s="551">
        <v>289211</v>
      </c>
      <c r="F45" s="551">
        <v>292543</v>
      </c>
      <c r="G45" s="376">
        <f>SUM(F45)</f>
        <v>292543</v>
      </c>
      <c r="H45" s="377">
        <v>0</v>
      </c>
    </row>
    <row r="46" spans="1:8" s="25" customFormat="1" ht="12.75">
      <c r="A46" s="127" t="s">
        <v>428</v>
      </c>
      <c r="B46" s="134"/>
      <c r="C46" s="105"/>
      <c r="D46" s="100" t="s">
        <v>429</v>
      </c>
      <c r="E46" s="367">
        <f>SUM(E47,E49,E58)</f>
        <v>2586506</v>
      </c>
      <c r="F46" s="367">
        <f>SUM(F47,F49,F58)</f>
        <v>2222436</v>
      </c>
      <c r="G46" s="367">
        <f>SUM(G47,G49,G58)</f>
        <v>2222436</v>
      </c>
      <c r="H46" s="367">
        <f>SUM(H47,H49,H58)</f>
        <v>0</v>
      </c>
    </row>
    <row r="47" spans="1:8" s="25" customFormat="1" ht="12.75">
      <c r="A47" s="128"/>
      <c r="B47" s="129" t="s">
        <v>430</v>
      </c>
      <c r="C47" s="105"/>
      <c r="D47" s="100" t="s">
        <v>431</v>
      </c>
      <c r="E47" s="367">
        <f>E48</f>
        <v>256163</v>
      </c>
      <c r="F47" s="367">
        <f>F48</f>
        <v>213436</v>
      </c>
      <c r="G47" s="367">
        <f>G48</f>
        <v>213436</v>
      </c>
      <c r="H47" s="367">
        <f>H48</f>
        <v>0</v>
      </c>
    </row>
    <row r="48" spans="1:8" s="25" customFormat="1" ht="48">
      <c r="A48" s="127"/>
      <c r="B48" s="129"/>
      <c r="C48" s="105" t="s">
        <v>397</v>
      </c>
      <c r="D48" s="47" t="s">
        <v>514</v>
      </c>
      <c r="E48" s="715">
        <v>256163</v>
      </c>
      <c r="F48" s="715">
        <v>213436</v>
      </c>
      <c r="G48" s="376">
        <f>SUM(F48)</f>
        <v>213436</v>
      </c>
      <c r="H48" s="377">
        <v>0</v>
      </c>
    </row>
    <row r="49" spans="1:8" s="25" customFormat="1" ht="12.75">
      <c r="A49" s="127"/>
      <c r="B49" s="130" t="s">
        <v>432</v>
      </c>
      <c r="C49" s="134"/>
      <c r="D49" s="111" t="s">
        <v>433</v>
      </c>
      <c r="E49" s="367">
        <f>SUM(E50:E57)</f>
        <v>2302402</v>
      </c>
      <c r="F49" s="367">
        <f>SUM(F50:F57)</f>
        <v>1980000</v>
      </c>
      <c r="G49" s="367">
        <f>SUM(G50:G57)</f>
        <v>1980000</v>
      </c>
      <c r="H49" s="367">
        <f>SUM(H50:H57)</f>
        <v>0</v>
      </c>
    </row>
    <row r="50" spans="1:8" s="25" customFormat="1" ht="12.75">
      <c r="A50" s="127"/>
      <c r="B50" s="131"/>
      <c r="C50" s="129" t="s">
        <v>434</v>
      </c>
      <c r="D50" s="47" t="s">
        <v>435</v>
      </c>
      <c r="E50" s="551">
        <v>1790000</v>
      </c>
      <c r="F50" s="551">
        <f>1600000</f>
        <v>1600000</v>
      </c>
      <c r="G50" s="376">
        <f aca="true" t="shared" si="1" ref="G50:G57">SUM(F50)</f>
        <v>1600000</v>
      </c>
      <c r="H50" s="377">
        <v>0</v>
      </c>
    </row>
    <row r="51" spans="1:8" s="25" customFormat="1" ht="12.75">
      <c r="A51" s="127"/>
      <c r="B51" s="130"/>
      <c r="C51" s="129" t="s">
        <v>620</v>
      </c>
      <c r="D51" s="47" t="s">
        <v>621</v>
      </c>
      <c r="E51" s="551">
        <v>39271</v>
      </c>
      <c r="F51" s="551">
        <v>0</v>
      </c>
      <c r="G51" s="376">
        <f t="shared" si="1"/>
        <v>0</v>
      </c>
      <c r="H51" s="377">
        <v>0</v>
      </c>
    </row>
    <row r="52" spans="1:8" s="25" customFormat="1" ht="12.75">
      <c r="A52" s="127"/>
      <c r="B52" s="130"/>
      <c r="C52" s="129" t="s">
        <v>436</v>
      </c>
      <c r="D52" s="47" t="s">
        <v>437</v>
      </c>
      <c r="E52" s="551">
        <v>9678</v>
      </c>
      <c r="F52" s="551">
        <v>0</v>
      </c>
      <c r="G52" s="376">
        <f t="shared" si="1"/>
        <v>0</v>
      </c>
      <c r="H52" s="377">
        <v>0</v>
      </c>
    </row>
    <row r="53" spans="1:8" s="25" customFormat="1" ht="60" customHeight="1">
      <c r="A53" s="127"/>
      <c r="B53" s="130"/>
      <c r="C53" s="129" t="s">
        <v>476</v>
      </c>
      <c r="D53" s="47" t="s">
        <v>7</v>
      </c>
      <c r="E53" s="551">
        <v>99594</v>
      </c>
      <c r="F53" s="551">
        <v>100000</v>
      </c>
      <c r="G53" s="376">
        <f t="shared" si="1"/>
        <v>100000</v>
      </c>
      <c r="H53" s="377">
        <v>0</v>
      </c>
    </row>
    <row r="54" spans="1:8" s="25" customFormat="1" ht="12.75">
      <c r="A54" s="127"/>
      <c r="B54" s="130"/>
      <c r="C54" s="135" t="s">
        <v>415</v>
      </c>
      <c r="D54" s="85" t="s">
        <v>26</v>
      </c>
      <c r="E54" s="715">
        <v>22288</v>
      </c>
      <c r="F54" s="715">
        <v>30000</v>
      </c>
      <c r="G54" s="376">
        <f t="shared" si="1"/>
        <v>30000</v>
      </c>
      <c r="H54" s="377">
        <v>0</v>
      </c>
    </row>
    <row r="55" spans="1:8" s="25" customFormat="1" ht="12.75">
      <c r="A55" s="127"/>
      <c r="B55" s="130"/>
      <c r="C55" s="135" t="s">
        <v>619</v>
      </c>
      <c r="D55" s="85" t="s">
        <v>622</v>
      </c>
      <c r="E55" s="715">
        <v>48720</v>
      </c>
      <c r="F55" s="715">
        <v>0</v>
      </c>
      <c r="G55" s="376">
        <f t="shared" si="1"/>
        <v>0</v>
      </c>
      <c r="H55" s="377">
        <v>0</v>
      </c>
    </row>
    <row r="56" spans="1:8" s="25" customFormat="1" ht="48">
      <c r="A56" s="127"/>
      <c r="B56" s="130"/>
      <c r="C56" s="135" t="s">
        <v>450</v>
      </c>
      <c r="D56" s="85" t="s">
        <v>27</v>
      </c>
      <c r="E56" s="715">
        <v>5302</v>
      </c>
      <c r="F56" s="715">
        <v>0</v>
      </c>
      <c r="G56" s="376">
        <f t="shared" si="1"/>
        <v>0</v>
      </c>
      <c r="H56" s="377">
        <v>0</v>
      </c>
    </row>
    <row r="57" spans="1:8" s="25" customFormat="1" ht="48">
      <c r="A57" s="127"/>
      <c r="B57" s="130"/>
      <c r="C57" s="129" t="s">
        <v>440</v>
      </c>
      <c r="D57" s="47" t="s">
        <v>441</v>
      </c>
      <c r="E57" s="551">
        <v>287549</v>
      </c>
      <c r="F57" s="551">
        <v>250000</v>
      </c>
      <c r="G57" s="376">
        <f t="shared" si="1"/>
        <v>250000</v>
      </c>
      <c r="H57" s="377">
        <v>0</v>
      </c>
    </row>
    <row r="58" spans="1:8" s="25" customFormat="1" ht="12.75">
      <c r="A58" s="127"/>
      <c r="B58" s="129" t="s">
        <v>444</v>
      </c>
      <c r="C58" s="105"/>
      <c r="D58" s="100" t="s">
        <v>445</v>
      </c>
      <c r="E58" s="367">
        <f>E59</f>
        <v>27941</v>
      </c>
      <c r="F58" s="367">
        <f>F59</f>
        <v>29000</v>
      </c>
      <c r="G58" s="367">
        <f>G59</f>
        <v>29000</v>
      </c>
      <c r="H58" s="367">
        <f>H59</f>
        <v>0</v>
      </c>
    </row>
    <row r="59" spans="1:8" s="25" customFormat="1" ht="48">
      <c r="A59" s="134"/>
      <c r="B59" s="129"/>
      <c r="C59" s="105" t="s">
        <v>397</v>
      </c>
      <c r="D59" s="47" t="s">
        <v>514</v>
      </c>
      <c r="E59" s="551">
        <v>27941</v>
      </c>
      <c r="F59" s="551">
        <v>29000</v>
      </c>
      <c r="G59" s="376">
        <f>SUM(F59)</f>
        <v>29000</v>
      </c>
      <c r="H59" s="377">
        <v>0</v>
      </c>
    </row>
    <row r="60" spans="1:8" s="25" customFormat="1" ht="25.5">
      <c r="A60" s="105" t="s">
        <v>446</v>
      </c>
      <c r="B60" s="129"/>
      <c r="C60" s="105"/>
      <c r="D60" s="100" t="s">
        <v>447</v>
      </c>
      <c r="E60" s="367">
        <f>E61</f>
        <v>3393317</v>
      </c>
      <c r="F60" s="367">
        <f>F61</f>
        <v>3584000</v>
      </c>
      <c r="G60" s="367">
        <f>G61</f>
        <v>3184000</v>
      </c>
      <c r="H60" s="367">
        <f>H61</f>
        <v>400000</v>
      </c>
    </row>
    <row r="61" spans="1:8" s="25" customFormat="1" ht="25.5">
      <c r="A61" s="128"/>
      <c r="B61" s="131" t="s">
        <v>448</v>
      </c>
      <c r="C61" s="129"/>
      <c r="D61" s="100" t="s">
        <v>449</v>
      </c>
      <c r="E61" s="367">
        <f>SUM(E62:E66)</f>
        <v>3393317</v>
      </c>
      <c r="F61" s="367">
        <f>SUM(F62:F66)</f>
        <v>3584000</v>
      </c>
      <c r="G61" s="367">
        <f>SUM(G62:G66)</f>
        <v>3184000</v>
      </c>
      <c r="H61" s="367">
        <f>SUM(H62:H66)</f>
        <v>400000</v>
      </c>
    </row>
    <row r="62" spans="1:8" s="25" customFormat="1" ht="12.75">
      <c r="A62" s="134"/>
      <c r="B62" s="129"/>
      <c r="C62" s="129" t="s">
        <v>409</v>
      </c>
      <c r="D62" s="47" t="s">
        <v>410</v>
      </c>
      <c r="E62" s="551">
        <v>4500</v>
      </c>
      <c r="F62" s="551">
        <v>5000</v>
      </c>
      <c r="G62" s="376">
        <f>SUM(F62)</f>
        <v>5000</v>
      </c>
      <c r="H62" s="377">
        <v>0</v>
      </c>
    </row>
    <row r="63" spans="1:8" s="25" customFormat="1" ht="48">
      <c r="A63" s="105" t="s">
        <v>446</v>
      </c>
      <c r="B63" s="129" t="s">
        <v>448</v>
      </c>
      <c r="C63" s="129" t="s">
        <v>397</v>
      </c>
      <c r="D63" s="47" t="s">
        <v>514</v>
      </c>
      <c r="E63" s="551">
        <v>2954217</v>
      </c>
      <c r="F63" s="551">
        <v>3179000</v>
      </c>
      <c r="G63" s="376">
        <f>SUM(F63)</f>
        <v>3179000</v>
      </c>
      <c r="H63" s="377">
        <v>0</v>
      </c>
    </row>
    <row r="64" spans="1:8" s="25" customFormat="1" ht="36.75" customHeight="1">
      <c r="A64" s="127"/>
      <c r="B64" s="130"/>
      <c r="C64" s="135" t="s">
        <v>15</v>
      </c>
      <c r="D64" s="85" t="s">
        <v>28</v>
      </c>
      <c r="E64" s="715">
        <v>28000</v>
      </c>
      <c r="F64" s="715">
        <v>0</v>
      </c>
      <c r="G64" s="573">
        <v>0</v>
      </c>
      <c r="H64" s="548">
        <v>0</v>
      </c>
    </row>
    <row r="65" spans="1:8" s="25" customFormat="1" ht="48.75" customHeight="1">
      <c r="A65" s="127"/>
      <c r="B65" s="130"/>
      <c r="C65" s="135" t="s">
        <v>442</v>
      </c>
      <c r="D65" s="47" t="s">
        <v>443</v>
      </c>
      <c r="E65" s="715">
        <v>25000</v>
      </c>
      <c r="F65" s="715">
        <v>0</v>
      </c>
      <c r="G65" s="376">
        <v>0</v>
      </c>
      <c r="H65" s="377">
        <v>0</v>
      </c>
    </row>
    <row r="66" spans="1:8" s="25" customFormat="1" ht="49.5" customHeight="1">
      <c r="A66" s="127"/>
      <c r="B66" s="130"/>
      <c r="C66" s="135" t="s">
        <v>427</v>
      </c>
      <c r="D66" s="553" t="s">
        <v>721</v>
      </c>
      <c r="E66" s="715">
        <v>381600</v>
      </c>
      <c r="F66" s="715">
        <v>400000</v>
      </c>
      <c r="G66" s="376">
        <v>0</v>
      </c>
      <c r="H66" s="377">
        <f>SUM(F66)</f>
        <v>400000</v>
      </c>
    </row>
    <row r="67" spans="1:8" s="25" customFormat="1" ht="66" customHeight="1">
      <c r="A67" s="128" t="s">
        <v>453</v>
      </c>
      <c r="B67" s="105"/>
      <c r="C67" s="105"/>
      <c r="D67" s="100" t="s">
        <v>751</v>
      </c>
      <c r="E67" s="367">
        <f>SUM(E68,E72)</f>
        <v>9540535</v>
      </c>
      <c r="F67" s="367">
        <f>SUM(F68,F72)</f>
        <v>10107688</v>
      </c>
      <c r="G67" s="367">
        <f>SUM(G68,G72)</f>
        <v>10107688</v>
      </c>
      <c r="H67" s="367">
        <f>SUM(H68,H72)</f>
        <v>0</v>
      </c>
    </row>
    <row r="68" spans="1:8" s="25" customFormat="1" ht="40.5" customHeight="1">
      <c r="A68" s="128"/>
      <c r="B68" s="131" t="s">
        <v>21</v>
      </c>
      <c r="C68" s="105"/>
      <c r="D68" s="100" t="s">
        <v>29</v>
      </c>
      <c r="E68" s="367">
        <f>SUM(E69:E71)</f>
        <v>22255</v>
      </c>
      <c r="F68" s="367">
        <f>SUM(F69:F71)</f>
        <v>0</v>
      </c>
      <c r="G68" s="367">
        <f>SUM(G69:G71)</f>
        <v>0</v>
      </c>
      <c r="H68" s="367">
        <f>SUM(H69:H71)</f>
        <v>0</v>
      </c>
    </row>
    <row r="69" spans="1:8" s="25" customFormat="1" ht="12.75">
      <c r="A69" s="127"/>
      <c r="B69" s="131"/>
      <c r="C69" s="129" t="s">
        <v>409</v>
      </c>
      <c r="D69" s="47" t="s">
        <v>410</v>
      </c>
      <c r="E69" s="551">
        <v>31</v>
      </c>
      <c r="F69" s="551">
        <v>0</v>
      </c>
      <c r="G69" s="376">
        <f>SUM(F69)</f>
        <v>0</v>
      </c>
      <c r="H69" s="377">
        <v>0</v>
      </c>
    </row>
    <row r="70" spans="1:8" s="25" customFormat="1" ht="12.75">
      <c r="A70" s="127"/>
      <c r="B70" s="130"/>
      <c r="C70" s="129" t="s">
        <v>619</v>
      </c>
      <c r="D70" s="47" t="s">
        <v>622</v>
      </c>
      <c r="E70" s="551">
        <v>9008</v>
      </c>
      <c r="F70" s="551">
        <v>0</v>
      </c>
      <c r="G70" s="376">
        <v>0</v>
      </c>
      <c r="H70" s="377">
        <v>0</v>
      </c>
    </row>
    <row r="71" spans="1:8" s="25" customFormat="1" ht="36">
      <c r="A71" s="127"/>
      <c r="B71" s="135"/>
      <c r="C71" s="129" t="s">
        <v>22</v>
      </c>
      <c r="D71" s="47" t="s">
        <v>30</v>
      </c>
      <c r="E71" s="551">
        <v>13216</v>
      </c>
      <c r="F71" s="551">
        <v>0</v>
      </c>
      <c r="G71" s="376">
        <f>SUM(F71)</f>
        <v>0</v>
      </c>
      <c r="H71" s="377">
        <v>0</v>
      </c>
    </row>
    <row r="72" spans="1:8" s="25" customFormat="1" ht="26.25" customHeight="1">
      <c r="A72" s="127"/>
      <c r="B72" s="131" t="s">
        <v>454</v>
      </c>
      <c r="C72" s="105"/>
      <c r="D72" s="100" t="s">
        <v>455</v>
      </c>
      <c r="E72" s="367">
        <f>SUM(E73:E74)</f>
        <v>9518280</v>
      </c>
      <c r="F72" s="367">
        <f>SUM(F73:F74)</f>
        <v>10107688</v>
      </c>
      <c r="G72" s="367">
        <f>SUM(G73:G74)</f>
        <v>10107688</v>
      </c>
      <c r="H72" s="367">
        <f>SUM(H73:H74)</f>
        <v>0</v>
      </c>
    </row>
    <row r="73" spans="1:8" s="25" customFormat="1" ht="12.75">
      <c r="A73" s="127"/>
      <c r="B73" s="131"/>
      <c r="C73" s="129" t="s">
        <v>456</v>
      </c>
      <c r="D73" s="47" t="s">
        <v>457</v>
      </c>
      <c r="E73" s="551">
        <v>9292280</v>
      </c>
      <c r="F73" s="551">
        <v>9751711</v>
      </c>
      <c r="G73" s="376">
        <f>SUM(F73)</f>
        <v>9751711</v>
      </c>
      <c r="H73" s="377">
        <v>0</v>
      </c>
    </row>
    <row r="74" spans="1:8" s="25" customFormat="1" ht="12.75">
      <c r="A74" s="134"/>
      <c r="B74" s="135"/>
      <c r="C74" s="129" t="s">
        <v>458</v>
      </c>
      <c r="D74" s="47" t="s">
        <v>459</v>
      </c>
      <c r="E74" s="551">
        <v>226000</v>
      </c>
      <c r="F74" s="551">
        <v>355977</v>
      </c>
      <c r="G74" s="376">
        <f>SUM(F74)</f>
        <v>355977</v>
      </c>
      <c r="H74" s="377">
        <v>0</v>
      </c>
    </row>
    <row r="75" spans="1:8" s="25" customFormat="1" ht="12.75">
      <c r="A75" s="127" t="s">
        <v>460</v>
      </c>
      <c r="B75" s="134"/>
      <c r="C75" s="105"/>
      <c r="D75" s="100" t="s">
        <v>461</v>
      </c>
      <c r="E75" s="367">
        <f>SUM(E76,E78,E80,E82)</f>
        <v>37703844</v>
      </c>
      <c r="F75" s="367">
        <f>SUM(F76,F78,F80,F82)</f>
        <v>42307684</v>
      </c>
      <c r="G75" s="367">
        <f>SUM(G76,G78,G80,G82)</f>
        <v>42307684</v>
      </c>
      <c r="H75" s="367">
        <f>SUM(H76,H78,H80,H82)</f>
        <v>0</v>
      </c>
    </row>
    <row r="76" spans="1:8" s="25" customFormat="1" ht="25.5" customHeight="1">
      <c r="A76" s="128"/>
      <c r="B76" s="129" t="s">
        <v>462</v>
      </c>
      <c r="C76" s="105"/>
      <c r="D76" s="100" t="s">
        <v>463</v>
      </c>
      <c r="E76" s="367">
        <f>E77</f>
        <v>31794368</v>
      </c>
      <c r="F76" s="367">
        <f>F77</f>
        <v>35681516</v>
      </c>
      <c r="G76" s="367">
        <f>G77</f>
        <v>35681516</v>
      </c>
      <c r="H76" s="367">
        <f>H77</f>
        <v>0</v>
      </c>
    </row>
    <row r="77" spans="1:8" s="25" customFormat="1" ht="12.75">
      <c r="A77" s="127"/>
      <c r="B77" s="135"/>
      <c r="C77" s="134" t="s">
        <v>464</v>
      </c>
      <c r="D77" s="85" t="s">
        <v>465</v>
      </c>
      <c r="E77" s="715">
        <v>31794368</v>
      </c>
      <c r="F77" s="715">
        <v>35681516</v>
      </c>
      <c r="G77" s="573">
        <f>SUM(F77)</f>
        <v>35681516</v>
      </c>
      <c r="H77" s="548">
        <v>0</v>
      </c>
    </row>
    <row r="78" spans="1:8" s="25" customFormat="1" ht="25.5">
      <c r="A78" s="127"/>
      <c r="B78" s="129" t="s">
        <v>466</v>
      </c>
      <c r="C78" s="105"/>
      <c r="D78" s="100" t="s">
        <v>467</v>
      </c>
      <c r="E78" s="367">
        <f>E79</f>
        <v>3968180</v>
      </c>
      <c r="F78" s="367">
        <f>F79</f>
        <v>4327574</v>
      </c>
      <c r="G78" s="367">
        <f>G79</f>
        <v>4327574</v>
      </c>
      <c r="H78" s="367">
        <f>H79</f>
        <v>0</v>
      </c>
    </row>
    <row r="79" spans="1:8" s="25" customFormat="1" ht="12.75">
      <c r="A79" s="127"/>
      <c r="B79" s="129"/>
      <c r="C79" s="105" t="s">
        <v>464</v>
      </c>
      <c r="D79" s="47" t="s">
        <v>465</v>
      </c>
      <c r="E79" s="551">
        <v>3968180</v>
      </c>
      <c r="F79" s="551">
        <v>4327574</v>
      </c>
      <c r="G79" s="376">
        <f>SUM(F79)</f>
        <v>4327574</v>
      </c>
      <c r="H79" s="377">
        <v>0</v>
      </c>
    </row>
    <row r="80" spans="1:8" s="25" customFormat="1" ht="12.75">
      <c r="A80" s="127"/>
      <c r="B80" s="129" t="s">
        <v>468</v>
      </c>
      <c r="C80" s="105"/>
      <c r="D80" s="100" t="s">
        <v>469</v>
      </c>
      <c r="E80" s="367">
        <f>E81</f>
        <v>200000</v>
      </c>
      <c r="F80" s="367">
        <f>F81</f>
        <v>100000</v>
      </c>
      <c r="G80" s="367">
        <f>G81</f>
        <v>100000</v>
      </c>
      <c r="H80" s="367">
        <f>H81</f>
        <v>0</v>
      </c>
    </row>
    <row r="81" spans="1:8" s="25" customFormat="1" ht="12.75">
      <c r="A81" s="127"/>
      <c r="B81" s="135"/>
      <c r="C81" s="134" t="s">
        <v>409</v>
      </c>
      <c r="D81" s="85" t="s">
        <v>410</v>
      </c>
      <c r="E81" s="715">
        <v>200000</v>
      </c>
      <c r="F81" s="715">
        <v>100000</v>
      </c>
      <c r="G81" s="573">
        <f>SUM(F81)</f>
        <v>100000</v>
      </c>
      <c r="H81" s="548">
        <v>0</v>
      </c>
    </row>
    <row r="82" spans="1:8" s="25" customFormat="1" ht="25.5">
      <c r="A82" s="127"/>
      <c r="B82" s="135" t="s">
        <v>470</v>
      </c>
      <c r="C82" s="134"/>
      <c r="D82" s="111" t="s">
        <v>471</v>
      </c>
      <c r="E82" s="367">
        <f>E83</f>
        <v>1741296</v>
      </c>
      <c r="F82" s="367">
        <f>F83</f>
        <v>2198594</v>
      </c>
      <c r="G82" s="367">
        <f>G83</f>
        <v>2198594</v>
      </c>
      <c r="H82" s="367">
        <f>H83</f>
        <v>0</v>
      </c>
    </row>
    <row r="83" spans="1:8" s="25" customFormat="1" ht="12.75">
      <c r="A83" s="134"/>
      <c r="B83" s="129"/>
      <c r="C83" s="105" t="s">
        <v>464</v>
      </c>
      <c r="D83" s="47" t="s">
        <v>465</v>
      </c>
      <c r="E83" s="551">
        <v>1741296</v>
      </c>
      <c r="F83" s="551">
        <v>2198594</v>
      </c>
      <c r="G83" s="376">
        <f>SUM(F83)</f>
        <v>2198594</v>
      </c>
      <c r="H83" s="377">
        <v>0</v>
      </c>
    </row>
    <row r="84" spans="1:8" s="25" customFormat="1" ht="12.75">
      <c r="A84" s="127" t="s">
        <v>472</v>
      </c>
      <c r="B84" s="129"/>
      <c r="C84" s="105"/>
      <c r="D84" s="100" t="s">
        <v>473</v>
      </c>
      <c r="E84" s="367">
        <f>SUM(E85,E90,E94,E100,E106,E108,E111)</f>
        <v>1208796</v>
      </c>
      <c r="F84" s="367">
        <f>SUM(F85,F90,F94,F100,F106,F108,F111)</f>
        <v>817126</v>
      </c>
      <c r="G84" s="367">
        <f>SUM(G85,G90,G94,G100,G106,G108,G111)</f>
        <v>817126</v>
      </c>
      <c r="H84" s="367">
        <f>SUM(H85,H90,H94,H100,H106,H108,H111)</f>
        <v>0</v>
      </c>
    </row>
    <row r="85" spans="1:8" s="25" customFormat="1" ht="12.75">
      <c r="A85" s="136"/>
      <c r="B85" s="131" t="s">
        <v>535</v>
      </c>
      <c r="C85" s="105"/>
      <c r="D85" s="100" t="s">
        <v>536</v>
      </c>
      <c r="E85" s="367">
        <f>SUM(E86:E89)</f>
        <v>21819</v>
      </c>
      <c r="F85" s="367">
        <f>SUM(F86:F89)</f>
        <v>33240</v>
      </c>
      <c r="G85" s="367">
        <f>SUM(G86:G89)</f>
        <v>33240</v>
      </c>
      <c r="H85" s="367">
        <f>SUM(H86:H89)</f>
        <v>0</v>
      </c>
    </row>
    <row r="86" spans="1:8" s="25" customFormat="1" ht="60.75" customHeight="1">
      <c r="A86" s="138"/>
      <c r="B86" s="131"/>
      <c r="C86" s="129" t="s">
        <v>476</v>
      </c>
      <c r="D86" s="47" t="s">
        <v>7</v>
      </c>
      <c r="E86" s="551">
        <v>5240</v>
      </c>
      <c r="F86" s="551">
        <v>7000</v>
      </c>
      <c r="G86" s="376">
        <f>SUM(F86)</f>
        <v>7000</v>
      </c>
      <c r="H86" s="377">
        <v>0</v>
      </c>
    </row>
    <row r="87" spans="1:8" s="25" customFormat="1" ht="12.75">
      <c r="A87" s="138"/>
      <c r="B87" s="130"/>
      <c r="C87" s="129" t="s">
        <v>415</v>
      </c>
      <c r="D87" s="47" t="s">
        <v>416</v>
      </c>
      <c r="E87" s="551">
        <v>366</v>
      </c>
      <c r="F87" s="551">
        <v>200</v>
      </c>
      <c r="G87" s="376">
        <f>SUM(F87)</f>
        <v>200</v>
      </c>
      <c r="H87" s="377">
        <v>0</v>
      </c>
    </row>
    <row r="88" spans="1:8" s="25" customFormat="1" ht="12.75">
      <c r="A88" s="127"/>
      <c r="B88" s="130"/>
      <c r="C88" s="129" t="s">
        <v>409</v>
      </c>
      <c r="D88" s="47" t="s">
        <v>410</v>
      </c>
      <c r="E88" s="551">
        <v>2848</v>
      </c>
      <c r="F88" s="551">
        <v>3000</v>
      </c>
      <c r="G88" s="376">
        <f>SUM(F88)</f>
        <v>3000</v>
      </c>
      <c r="H88" s="377">
        <v>0</v>
      </c>
    </row>
    <row r="89" spans="1:8" s="25" customFormat="1" ht="12.75">
      <c r="A89" s="127"/>
      <c r="B89" s="135"/>
      <c r="C89" s="129" t="s">
        <v>619</v>
      </c>
      <c r="D89" s="47" t="s">
        <v>622</v>
      </c>
      <c r="E89" s="551">
        <v>13365</v>
      </c>
      <c r="F89" s="551">
        <v>23040</v>
      </c>
      <c r="G89" s="376">
        <f>SUM(F89)</f>
        <v>23040</v>
      </c>
      <c r="H89" s="377">
        <v>0</v>
      </c>
    </row>
    <row r="90" spans="1:8" s="25" customFormat="1" ht="12.75">
      <c r="A90" s="138"/>
      <c r="B90" s="130" t="s">
        <v>474</v>
      </c>
      <c r="C90" s="105"/>
      <c r="D90" s="100" t="s">
        <v>475</v>
      </c>
      <c r="E90" s="367">
        <f>SUM(E91:E93)</f>
        <v>41867</v>
      </c>
      <c r="F90" s="367">
        <f>SUM(F91:F93)</f>
        <v>35415</v>
      </c>
      <c r="G90" s="367">
        <f>SUM(G91:G93)</f>
        <v>35415</v>
      </c>
      <c r="H90" s="367">
        <f>SUM(H91:H93)</f>
        <v>0</v>
      </c>
    </row>
    <row r="91" spans="1:8" s="25" customFormat="1" ht="60" customHeight="1">
      <c r="A91" s="138"/>
      <c r="B91" s="131"/>
      <c r="C91" s="129" t="s">
        <v>476</v>
      </c>
      <c r="D91" s="47" t="s">
        <v>7</v>
      </c>
      <c r="E91" s="551">
        <v>31823</v>
      </c>
      <c r="F91" s="551">
        <v>27185</v>
      </c>
      <c r="G91" s="376">
        <f>SUM(F91)</f>
        <v>27185</v>
      </c>
      <c r="H91" s="377">
        <v>0</v>
      </c>
    </row>
    <row r="92" spans="1:8" s="25" customFormat="1" ht="12.75">
      <c r="A92" s="138"/>
      <c r="B92" s="130"/>
      <c r="C92" s="129" t="s">
        <v>409</v>
      </c>
      <c r="D92" s="47" t="s">
        <v>410</v>
      </c>
      <c r="E92" s="551">
        <v>3800</v>
      </c>
      <c r="F92" s="551">
        <v>4000</v>
      </c>
      <c r="G92" s="376">
        <f>SUM(F92)</f>
        <v>4000</v>
      </c>
      <c r="H92" s="377">
        <v>0</v>
      </c>
    </row>
    <row r="93" spans="1:8" s="25" customFormat="1" ht="12.75">
      <c r="A93" s="134"/>
      <c r="B93" s="135"/>
      <c r="C93" s="129" t="s">
        <v>619</v>
      </c>
      <c r="D93" s="47" t="s">
        <v>622</v>
      </c>
      <c r="E93" s="551">
        <v>6244</v>
      </c>
      <c r="F93" s="551">
        <v>4230</v>
      </c>
      <c r="G93" s="376">
        <f>SUM(F93)</f>
        <v>4230</v>
      </c>
      <c r="H93" s="377">
        <v>0</v>
      </c>
    </row>
    <row r="94" spans="1:8" s="25" customFormat="1" ht="12.75">
      <c r="A94" s="727">
        <v>801</v>
      </c>
      <c r="B94" s="129" t="s">
        <v>477</v>
      </c>
      <c r="C94" s="105"/>
      <c r="D94" s="100" t="s">
        <v>478</v>
      </c>
      <c r="E94" s="367">
        <f>SUM(E95:E99)</f>
        <v>196451</v>
      </c>
      <c r="F94" s="367">
        <f>SUM(F95:F99)</f>
        <v>164871</v>
      </c>
      <c r="G94" s="367">
        <f>SUM(G95:G99)</f>
        <v>164871</v>
      </c>
      <c r="H94" s="367">
        <f>SUM(H95:H99)</f>
        <v>0</v>
      </c>
    </row>
    <row r="95" spans="1:8" s="25" customFormat="1" ht="60.75" customHeight="1">
      <c r="A95" s="128"/>
      <c r="B95" s="130"/>
      <c r="C95" s="135" t="s">
        <v>476</v>
      </c>
      <c r="D95" s="85" t="s">
        <v>7</v>
      </c>
      <c r="E95" s="715">
        <v>97538</v>
      </c>
      <c r="F95" s="715">
        <v>76921</v>
      </c>
      <c r="G95" s="573">
        <f>SUM(F95)</f>
        <v>76921</v>
      </c>
      <c r="H95" s="548">
        <v>0</v>
      </c>
    </row>
    <row r="96" spans="1:8" s="25" customFormat="1" ht="12.75">
      <c r="A96" s="127"/>
      <c r="B96" s="130"/>
      <c r="C96" s="129" t="s">
        <v>415</v>
      </c>
      <c r="D96" s="47" t="s">
        <v>416</v>
      </c>
      <c r="E96" s="551">
        <v>18609</v>
      </c>
      <c r="F96" s="551">
        <v>19609</v>
      </c>
      <c r="G96" s="376">
        <f>SUM(F96)</f>
        <v>19609</v>
      </c>
      <c r="H96" s="377">
        <v>0</v>
      </c>
    </row>
    <row r="97" spans="1:8" s="25" customFormat="1" ht="12.75">
      <c r="A97" s="138"/>
      <c r="B97" s="130"/>
      <c r="C97" s="135" t="s">
        <v>409</v>
      </c>
      <c r="D97" s="85" t="s">
        <v>410</v>
      </c>
      <c r="E97" s="715">
        <v>17000</v>
      </c>
      <c r="F97" s="715">
        <v>16500</v>
      </c>
      <c r="G97" s="573">
        <f>SUM(F97)</f>
        <v>16500</v>
      </c>
      <c r="H97" s="548">
        <v>0</v>
      </c>
    </row>
    <row r="98" spans="1:8" s="25" customFormat="1" ht="12.75">
      <c r="A98" s="611"/>
      <c r="B98" s="130"/>
      <c r="C98" s="129" t="s">
        <v>619</v>
      </c>
      <c r="D98" s="47" t="s">
        <v>622</v>
      </c>
      <c r="E98" s="551">
        <v>61960</v>
      </c>
      <c r="F98" s="551">
        <v>51841</v>
      </c>
      <c r="G98" s="376">
        <f>SUM(F98)</f>
        <v>51841</v>
      </c>
      <c r="H98" s="377">
        <v>0</v>
      </c>
    </row>
    <row r="99" spans="1:8" s="25" customFormat="1" ht="36">
      <c r="A99" s="138"/>
      <c r="B99" s="135"/>
      <c r="C99" s="135" t="s">
        <v>626</v>
      </c>
      <c r="D99" s="85" t="s">
        <v>627</v>
      </c>
      <c r="E99" s="715">
        <v>1344</v>
      </c>
      <c r="F99" s="715">
        <v>0</v>
      </c>
      <c r="G99" s="573">
        <f>SUM(F99)</f>
        <v>0</v>
      </c>
      <c r="H99" s="548">
        <v>0</v>
      </c>
    </row>
    <row r="100" spans="1:8" s="25" customFormat="1" ht="38.25">
      <c r="A100" s="127"/>
      <c r="B100" s="130" t="s">
        <v>480</v>
      </c>
      <c r="C100" s="105"/>
      <c r="D100" s="100" t="s">
        <v>481</v>
      </c>
      <c r="E100" s="367">
        <f>SUM(E101:E105)</f>
        <v>34600</v>
      </c>
      <c r="F100" s="367">
        <f>SUM(F101:F105)</f>
        <v>39080</v>
      </c>
      <c r="G100" s="367">
        <f>SUM(G101:G105)</f>
        <v>39080</v>
      </c>
      <c r="H100" s="367">
        <f>SUM(H101:H105)</f>
        <v>0</v>
      </c>
    </row>
    <row r="101" spans="1:8" s="25" customFormat="1" ht="60.75" customHeight="1">
      <c r="A101" s="127"/>
      <c r="B101" s="131"/>
      <c r="C101" s="129" t="s">
        <v>476</v>
      </c>
      <c r="D101" s="47" t="s">
        <v>7</v>
      </c>
      <c r="E101" s="551">
        <v>345</v>
      </c>
      <c r="F101" s="551">
        <v>500</v>
      </c>
      <c r="G101" s="376">
        <f>SUM(F101)</f>
        <v>500</v>
      </c>
      <c r="H101" s="377">
        <v>0</v>
      </c>
    </row>
    <row r="102" spans="1:8" s="25" customFormat="1" ht="12.75">
      <c r="A102" s="138"/>
      <c r="B102" s="130"/>
      <c r="C102" s="135" t="s">
        <v>415</v>
      </c>
      <c r="D102" s="85" t="s">
        <v>416</v>
      </c>
      <c r="E102" s="715">
        <v>33000</v>
      </c>
      <c r="F102" s="715">
        <v>37180</v>
      </c>
      <c r="G102" s="573">
        <f>SUM(F102)</f>
        <v>37180</v>
      </c>
      <c r="H102" s="548">
        <v>0</v>
      </c>
    </row>
    <row r="103" spans="1:8" s="25" customFormat="1" ht="12.75">
      <c r="A103" s="138"/>
      <c r="B103" s="130"/>
      <c r="C103" s="129" t="s">
        <v>409</v>
      </c>
      <c r="D103" s="47" t="s">
        <v>410</v>
      </c>
      <c r="E103" s="551">
        <v>1100</v>
      </c>
      <c r="F103" s="551">
        <v>1200</v>
      </c>
      <c r="G103" s="376">
        <f>SUM(F103)</f>
        <v>1200</v>
      </c>
      <c r="H103" s="377">
        <v>0</v>
      </c>
    </row>
    <row r="104" spans="1:8" s="25" customFormat="1" ht="12.75">
      <c r="A104" s="138"/>
      <c r="B104" s="130"/>
      <c r="C104" s="129" t="s">
        <v>619</v>
      </c>
      <c r="D104" s="553" t="s">
        <v>622</v>
      </c>
      <c r="E104" s="551">
        <v>155</v>
      </c>
      <c r="F104" s="551">
        <v>200</v>
      </c>
      <c r="G104" s="376">
        <f>SUM(F104)</f>
        <v>200</v>
      </c>
      <c r="H104" s="377">
        <v>0</v>
      </c>
    </row>
    <row r="105" spans="1:8" s="25" customFormat="1" ht="36">
      <c r="A105" s="127"/>
      <c r="B105" s="135"/>
      <c r="C105" s="129" t="s">
        <v>233</v>
      </c>
      <c r="D105" s="47" t="s">
        <v>627</v>
      </c>
      <c r="E105" s="718"/>
      <c r="F105" s="718"/>
      <c r="G105" s="719"/>
      <c r="H105" s="546"/>
    </row>
    <row r="106" spans="1:8" s="25" customFormat="1" ht="12.75">
      <c r="A106" s="127"/>
      <c r="B106" s="135" t="s">
        <v>13</v>
      </c>
      <c r="C106" s="129"/>
      <c r="D106" s="100" t="s">
        <v>31</v>
      </c>
      <c r="E106" s="720">
        <f>SUM(E107)</f>
        <v>513282</v>
      </c>
      <c r="F106" s="720">
        <f>SUM(F107)</f>
        <v>544520</v>
      </c>
      <c r="G106" s="720">
        <f>SUM(G107)</f>
        <v>544520</v>
      </c>
      <c r="H106" s="720">
        <f>SUM(H107)</f>
        <v>0</v>
      </c>
    </row>
    <row r="107" spans="1:8" s="25" customFormat="1" ht="12.75">
      <c r="A107" s="127"/>
      <c r="B107" s="129"/>
      <c r="C107" s="129" t="s">
        <v>415</v>
      </c>
      <c r="D107" s="85" t="s">
        <v>416</v>
      </c>
      <c r="E107" s="551">
        <v>513282</v>
      </c>
      <c r="F107" s="551">
        <v>544520</v>
      </c>
      <c r="G107" s="376">
        <f>SUM(F107)</f>
        <v>544520</v>
      </c>
      <c r="H107" s="377">
        <v>0</v>
      </c>
    </row>
    <row r="108" spans="1:8" s="25" customFormat="1" ht="12.75">
      <c r="A108" s="138"/>
      <c r="B108" s="129" t="s">
        <v>482</v>
      </c>
      <c r="C108" s="105"/>
      <c r="D108" s="100" t="s">
        <v>628</v>
      </c>
      <c r="E108" s="367">
        <f>SUM(E109:E110)</f>
        <v>101461</v>
      </c>
      <c r="F108" s="367">
        <f>SUM(F109:F110)</f>
        <v>0</v>
      </c>
      <c r="G108" s="367">
        <f>SUM(G109:G110)</f>
        <v>0</v>
      </c>
      <c r="H108" s="367">
        <f>SUM(H109:H110)</f>
        <v>0</v>
      </c>
    </row>
    <row r="109" spans="1:8" s="25" customFormat="1" ht="26.25" customHeight="1">
      <c r="A109" s="138"/>
      <c r="B109" s="131"/>
      <c r="C109" s="129" t="s">
        <v>438</v>
      </c>
      <c r="D109" s="47" t="s">
        <v>439</v>
      </c>
      <c r="E109" s="551">
        <v>83461</v>
      </c>
      <c r="F109" s="551">
        <v>0</v>
      </c>
      <c r="G109" s="367">
        <v>0</v>
      </c>
      <c r="H109" s="377">
        <v>0</v>
      </c>
    </row>
    <row r="110" spans="1:8" s="25" customFormat="1" ht="37.5" customHeight="1">
      <c r="A110" s="138"/>
      <c r="B110" s="135"/>
      <c r="C110" s="129" t="s">
        <v>15</v>
      </c>
      <c r="D110" s="47" t="s">
        <v>28</v>
      </c>
      <c r="E110" s="551">
        <v>18000</v>
      </c>
      <c r="F110" s="551">
        <v>0</v>
      </c>
      <c r="G110" s="376">
        <v>0</v>
      </c>
      <c r="H110" s="377">
        <v>0</v>
      </c>
    </row>
    <row r="111" spans="1:8" s="25" customFormat="1" ht="12.75">
      <c r="A111" s="138"/>
      <c r="B111" s="135" t="s">
        <v>629</v>
      </c>
      <c r="C111" s="105"/>
      <c r="D111" s="100" t="s">
        <v>623</v>
      </c>
      <c r="E111" s="367">
        <f>SUM(E112:E112)</f>
        <v>299316</v>
      </c>
      <c r="F111" s="367">
        <f>SUM(F112:F112)</f>
        <v>0</v>
      </c>
      <c r="G111" s="367">
        <f>SUM(G112:G112)</f>
        <v>0</v>
      </c>
      <c r="H111" s="367">
        <f>SUM(H112:H112)</f>
        <v>0</v>
      </c>
    </row>
    <row r="112" spans="1:8" s="25" customFormat="1" ht="24">
      <c r="A112" s="137"/>
      <c r="B112" s="129"/>
      <c r="C112" s="105" t="s">
        <v>624</v>
      </c>
      <c r="D112" s="47" t="s">
        <v>625</v>
      </c>
      <c r="E112" s="551">
        <v>299316</v>
      </c>
      <c r="F112" s="551">
        <v>0</v>
      </c>
      <c r="G112" s="376">
        <v>0</v>
      </c>
      <c r="H112" s="377">
        <v>0</v>
      </c>
    </row>
    <row r="113" spans="1:8" s="25" customFormat="1" ht="12.75">
      <c r="A113" s="134" t="s">
        <v>483</v>
      </c>
      <c r="B113" s="105"/>
      <c r="C113" s="105"/>
      <c r="D113" s="100" t="s">
        <v>484</v>
      </c>
      <c r="E113" s="367">
        <f>SUM(E114)</f>
        <v>1170716</v>
      </c>
      <c r="F113" s="367">
        <f>SUM(F114)</f>
        <v>1127000</v>
      </c>
      <c r="G113" s="367">
        <f>SUM(G114)</f>
        <v>1127000</v>
      </c>
      <c r="H113" s="367">
        <f>SUM(H114)</f>
        <v>0</v>
      </c>
    </row>
    <row r="114" spans="1:8" s="25" customFormat="1" ht="51">
      <c r="A114" s="128"/>
      <c r="B114" s="129" t="s">
        <v>487</v>
      </c>
      <c r="C114" s="105"/>
      <c r="D114" s="100" t="s">
        <v>488</v>
      </c>
      <c r="E114" s="367">
        <f>E115</f>
        <v>1170716</v>
      </c>
      <c r="F114" s="367">
        <f>F115</f>
        <v>1127000</v>
      </c>
      <c r="G114" s="367">
        <f>G115</f>
        <v>1127000</v>
      </c>
      <c r="H114" s="367">
        <f>H115</f>
        <v>0</v>
      </c>
    </row>
    <row r="115" spans="1:8" s="25" customFormat="1" ht="48">
      <c r="A115" s="148"/>
      <c r="B115" s="135"/>
      <c r="C115" s="134" t="s">
        <v>397</v>
      </c>
      <c r="D115" s="85" t="s">
        <v>514</v>
      </c>
      <c r="E115" s="715">
        <v>1170716</v>
      </c>
      <c r="F115" s="715">
        <v>1127000</v>
      </c>
      <c r="G115" s="376">
        <f>SUM(F115)</f>
        <v>1127000</v>
      </c>
      <c r="H115" s="377">
        <v>0</v>
      </c>
    </row>
    <row r="116" spans="1:8" s="25" customFormat="1" ht="12.75">
      <c r="A116" s="127" t="s">
        <v>489</v>
      </c>
      <c r="B116" s="105"/>
      <c r="C116" s="105"/>
      <c r="D116" s="100" t="s">
        <v>490</v>
      </c>
      <c r="E116" s="367">
        <f>SUM(E117,E122,E131,E134,E139,E142)</f>
        <v>5509798</v>
      </c>
      <c r="F116" s="367">
        <f>SUM(F117,F122,F131,F134,F139,F142)</f>
        <v>5522258</v>
      </c>
      <c r="G116" s="367">
        <f>SUM(G117,G122,G131,G134,G139,G142)</f>
        <v>5522258</v>
      </c>
      <c r="H116" s="367">
        <f>SUM(H117,H122,H131,H134,H139,H142)</f>
        <v>0</v>
      </c>
    </row>
    <row r="117" spans="1:8" s="25" customFormat="1" ht="12.75">
      <c r="A117" s="128"/>
      <c r="B117" s="129" t="s">
        <v>491</v>
      </c>
      <c r="C117" s="105"/>
      <c r="D117" s="100" t="s">
        <v>492</v>
      </c>
      <c r="E117" s="367">
        <f>SUM(E118:E121)</f>
        <v>33940</v>
      </c>
      <c r="F117" s="367">
        <f>SUM(F118:F121)</f>
        <v>32672</v>
      </c>
      <c r="G117" s="367">
        <f>SUM(G118:G121)</f>
        <v>32672</v>
      </c>
      <c r="H117" s="367">
        <f>SUM(H118:H121)</f>
        <v>0</v>
      </c>
    </row>
    <row r="118" spans="1:8" s="25" customFormat="1" ht="12.75">
      <c r="A118" s="127"/>
      <c r="B118" s="131"/>
      <c r="C118" s="129" t="s">
        <v>409</v>
      </c>
      <c r="D118" s="47" t="s">
        <v>410</v>
      </c>
      <c r="E118" s="551">
        <v>30</v>
      </c>
      <c r="F118" s="551">
        <v>0</v>
      </c>
      <c r="G118" s="376">
        <f>SUM(F118)</f>
        <v>0</v>
      </c>
      <c r="H118" s="377">
        <v>0</v>
      </c>
    </row>
    <row r="119" spans="1:8" s="25" customFormat="1" ht="12.75">
      <c r="A119" s="127"/>
      <c r="B119" s="130"/>
      <c r="C119" s="129" t="s">
        <v>619</v>
      </c>
      <c r="D119" s="47" t="s">
        <v>622</v>
      </c>
      <c r="E119" s="551">
        <v>2246</v>
      </c>
      <c r="F119" s="551">
        <v>1000</v>
      </c>
      <c r="G119" s="376">
        <f>SUM(F119)</f>
        <v>1000</v>
      </c>
      <c r="H119" s="377">
        <v>0</v>
      </c>
    </row>
    <row r="120" spans="1:8" s="25" customFormat="1" ht="24" customHeight="1">
      <c r="A120" s="127"/>
      <c r="B120" s="130"/>
      <c r="C120" s="129" t="s">
        <v>438</v>
      </c>
      <c r="D120" s="47" t="s">
        <v>439</v>
      </c>
      <c r="E120" s="551">
        <v>1500</v>
      </c>
      <c r="F120" s="551">
        <v>0</v>
      </c>
      <c r="G120" s="376">
        <f>SUM(F120)</f>
        <v>0</v>
      </c>
      <c r="H120" s="377">
        <v>0</v>
      </c>
    </row>
    <row r="121" spans="1:8" s="25" customFormat="1" ht="48">
      <c r="A121" s="127"/>
      <c r="B121" s="135"/>
      <c r="C121" s="129" t="s">
        <v>450</v>
      </c>
      <c r="D121" s="47" t="s">
        <v>479</v>
      </c>
      <c r="E121" s="376">
        <v>30164</v>
      </c>
      <c r="F121" s="377">
        <v>31672</v>
      </c>
      <c r="G121" s="376">
        <f>SUM(F121)</f>
        <v>31672</v>
      </c>
      <c r="H121" s="377">
        <v>0</v>
      </c>
    </row>
    <row r="122" spans="1:8" s="25" customFormat="1" ht="12.75">
      <c r="A122" s="127"/>
      <c r="B122" s="131" t="s">
        <v>493</v>
      </c>
      <c r="C122" s="105"/>
      <c r="D122" s="100" t="s">
        <v>494</v>
      </c>
      <c r="E122" s="367">
        <f>SUM(E123:E130)</f>
        <v>4789872</v>
      </c>
      <c r="F122" s="367">
        <f>SUM(F123:F130)</f>
        <v>4852373</v>
      </c>
      <c r="G122" s="367">
        <f>SUM(G123:G130)</f>
        <v>4852373</v>
      </c>
      <c r="H122" s="367">
        <f>SUM(H123:H130)</f>
        <v>0</v>
      </c>
    </row>
    <row r="123" spans="1:8" s="25" customFormat="1" ht="60.75" customHeight="1">
      <c r="A123" s="132"/>
      <c r="B123" s="128"/>
      <c r="C123" s="129" t="s">
        <v>476</v>
      </c>
      <c r="D123" s="47" t="s">
        <v>7</v>
      </c>
      <c r="E123" s="376">
        <v>5440</v>
      </c>
      <c r="F123" s="376">
        <v>5500</v>
      </c>
      <c r="G123" s="376">
        <f aca="true" t="shared" si="2" ref="G123:G130">SUM(F123)</f>
        <v>5500</v>
      </c>
      <c r="H123" s="377">
        <v>0</v>
      </c>
    </row>
    <row r="124" spans="1:8" s="25" customFormat="1" ht="12.75">
      <c r="A124" s="133"/>
      <c r="B124" s="134"/>
      <c r="C124" s="129" t="s">
        <v>415</v>
      </c>
      <c r="D124" s="47" t="s">
        <v>416</v>
      </c>
      <c r="E124" s="551">
        <v>1544448</v>
      </c>
      <c r="F124" s="377">
        <v>1645123</v>
      </c>
      <c r="G124" s="376">
        <f t="shared" si="2"/>
        <v>1645123</v>
      </c>
      <c r="H124" s="377">
        <v>0</v>
      </c>
    </row>
    <row r="125" spans="1:8" s="25" customFormat="1" ht="24">
      <c r="A125" s="128" t="s">
        <v>489</v>
      </c>
      <c r="B125" s="129" t="s">
        <v>493</v>
      </c>
      <c r="C125" s="129" t="s">
        <v>417</v>
      </c>
      <c r="D125" s="47" t="s">
        <v>418</v>
      </c>
      <c r="E125" s="551">
        <v>14130</v>
      </c>
      <c r="F125" s="377">
        <v>0</v>
      </c>
      <c r="G125" s="376">
        <f t="shared" si="2"/>
        <v>0</v>
      </c>
      <c r="H125" s="377">
        <v>0</v>
      </c>
    </row>
    <row r="126" spans="1:8" s="25" customFormat="1" ht="12.75">
      <c r="A126" s="128"/>
      <c r="B126" s="130"/>
      <c r="C126" s="135" t="s">
        <v>409</v>
      </c>
      <c r="D126" s="85" t="s">
        <v>410</v>
      </c>
      <c r="E126" s="573">
        <v>2478</v>
      </c>
      <c r="F126" s="548">
        <v>2500</v>
      </c>
      <c r="G126" s="573">
        <f t="shared" si="2"/>
        <v>2500</v>
      </c>
      <c r="H126" s="548">
        <v>0</v>
      </c>
    </row>
    <row r="127" spans="1:8" s="25" customFormat="1" ht="12.75">
      <c r="A127" s="127"/>
      <c r="B127" s="130"/>
      <c r="C127" s="129" t="s">
        <v>619</v>
      </c>
      <c r="D127" s="47" t="s">
        <v>622</v>
      </c>
      <c r="E127" s="376">
        <v>41840</v>
      </c>
      <c r="F127" s="377">
        <v>34250</v>
      </c>
      <c r="G127" s="376">
        <f t="shared" si="2"/>
        <v>34250</v>
      </c>
      <c r="H127" s="377">
        <v>0</v>
      </c>
    </row>
    <row r="128" spans="1:8" s="25" customFormat="1" ht="25.5" customHeight="1">
      <c r="A128" s="127"/>
      <c r="B128" s="130"/>
      <c r="C128" s="129" t="s">
        <v>438</v>
      </c>
      <c r="D128" s="47" t="s">
        <v>439</v>
      </c>
      <c r="E128" s="376">
        <v>3067536</v>
      </c>
      <c r="F128" s="377">
        <v>3165000</v>
      </c>
      <c r="G128" s="376">
        <f t="shared" si="2"/>
        <v>3165000</v>
      </c>
      <c r="H128" s="377">
        <v>0</v>
      </c>
    </row>
    <row r="129" spans="1:8" s="25" customFormat="1" ht="36">
      <c r="A129" s="127"/>
      <c r="B129" s="130"/>
      <c r="C129" s="129" t="s">
        <v>634</v>
      </c>
      <c r="D129" s="47" t="s">
        <v>32</v>
      </c>
      <c r="E129" s="376">
        <v>22000</v>
      </c>
      <c r="F129" s="377">
        <v>0</v>
      </c>
      <c r="G129" s="376">
        <v>0</v>
      </c>
      <c r="H129" s="377">
        <v>0</v>
      </c>
    </row>
    <row r="130" spans="1:8" s="25" customFormat="1" ht="50.25" customHeight="1">
      <c r="A130" s="127"/>
      <c r="B130" s="135"/>
      <c r="C130" s="129" t="s">
        <v>442</v>
      </c>
      <c r="D130" s="47" t="s">
        <v>443</v>
      </c>
      <c r="E130" s="721">
        <v>92000</v>
      </c>
      <c r="F130" s="377">
        <v>0</v>
      </c>
      <c r="G130" s="376">
        <f t="shared" si="2"/>
        <v>0</v>
      </c>
      <c r="H130" s="377">
        <v>0</v>
      </c>
    </row>
    <row r="131" spans="1:8" s="25" customFormat="1" ht="12.75">
      <c r="A131" s="127"/>
      <c r="B131" s="130" t="s">
        <v>495</v>
      </c>
      <c r="C131" s="105"/>
      <c r="D131" s="100" t="s">
        <v>496</v>
      </c>
      <c r="E131" s="722">
        <f>SUM(E132:E133)</f>
        <v>444093</v>
      </c>
      <c r="F131" s="722">
        <f>SUM(F132:F133)</f>
        <v>483500</v>
      </c>
      <c r="G131" s="722">
        <f>SUM(G132:G133)</f>
        <v>483500</v>
      </c>
      <c r="H131" s="367">
        <f>SUM(H132:H133)</f>
        <v>0</v>
      </c>
    </row>
    <row r="132" spans="1:8" s="25" customFormat="1" ht="12.75">
      <c r="A132" s="127"/>
      <c r="B132" s="131"/>
      <c r="C132" s="135" t="s">
        <v>409</v>
      </c>
      <c r="D132" s="85" t="s">
        <v>410</v>
      </c>
      <c r="E132" s="721">
        <v>2000</v>
      </c>
      <c r="F132" s="721">
        <v>1500</v>
      </c>
      <c r="G132" s="376">
        <f>SUM(F132)</f>
        <v>1500</v>
      </c>
      <c r="H132" s="377">
        <v>0</v>
      </c>
    </row>
    <row r="133" spans="1:8" s="25" customFormat="1" ht="48">
      <c r="A133" s="127"/>
      <c r="B133" s="135"/>
      <c r="C133" s="129" t="s">
        <v>397</v>
      </c>
      <c r="D133" s="47" t="s">
        <v>514</v>
      </c>
      <c r="E133" s="721">
        <v>442093</v>
      </c>
      <c r="F133" s="377">
        <v>482000</v>
      </c>
      <c r="G133" s="376">
        <f>SUM(F133)</f>
        <v>482000</v>
      </c>
      <c r="H133" s="377">
        <v>0</v>
      </c>
    </row>
    <row r="134" spans="1:8" s="25" customFormat="1" ht="12.75">
      <c r="A134" s="127"/>
      <c r="B134" s="130" t="s">
        <v>497</v>
      </c>
      <c r="C134" s="134"/>
      <c r="D134" s="111" t="s">
        <v>498</v>
      </c>
      <c r="E134" s="723">
        <f>SUM(E135:E138)</f>
        <v>158393</v>
      </c>
      <c r="F134" s="723">
        <f>SUM(F135:F138)</f>
        <v>152713</v>
      </c>
      <c r="G134" s="723">
        <f>SUM(G135:G138)</f>
        <v>152713</v>
      </c>
      <c r="H134" s="566">
        <f>SUM(H135:H138)</f>
        <v>0</v>
      </c>
    </row>
    <row r="135" spans="1:8" s="25" customFormat="1" ht="36">
      <c r="A135" s="127"/>
      <c r="B135" s="131"/>
      <c r="C135" s="129" t="s">
        <v>633</v>
      </c>
      <c r="D135" s="47" t="s">
        <v>645</v>
      </c>
      <c r="E135" s="721">
        <v>1000</v>
      </c>
      <c r="F135" s="377">
        <v>1000</v>
      </c>
      <c r="G135" s="376">
        <f>SUM(F135)</f>
        <v>1000</v>
      </c>
      <c r="H135" s="377">
        <v>0</v>
      </c>
    </row>
    <row r="136" spans="1:8" s="25" customFormat="1" ht="12.75">
      <c r="A136" s="127"/>
      <c r="B136" s="130"/>
      <c r="C136" s="129" t="s">
        <v>415</v>
      </c>
      <c r="D136" s="47" t="s">
        <v>416</v>
      </c>
      <c r="E136" s="721">
        <v>20000</v>
      </c>
      <c r="F136" s="377">
        <v>20000</v>
      </c>
      <c r="G136" s="376">
        <f>SUM(F136)</f>
        <v>20000</v>
      </c>
      <c r="H136" s="377">
        <v>0</v>
      </c>
    </row>
    <row r="137" spans="1:8" s="25" customFormat="1" ht="48">
      <c r="A137" s="127"/>
      <c r="B137" s="130"/>
      <c r="C137" s="129" t="s">
        <v>450</v>
      </c>
      <c r="D137" s="47" t="s">
        <v>27</v>
      </c>
      <c r="E137" s="721">
        <v>3734</v>
      </c>
      <c r="F137" s="377">
        <v>4165</v>
      </c>
      <c r="G137" s="376">
        <v>4165</v>
      </c>
      <c r="H137" s="377">
        <v>0</v>
      </c>
    </row>
    <row r="138" spans="1:8" s="25" customFormat="1" ht="48">
      <c r="A138" s="127"/>
      <c r="B138" s="135"/>
      <c r="C138" s="135" t="s">
        <v>635</v>
      </c>
      <c r="D138" s="85" t="s">
        <v>644</v>
      </c>
      <c r="E138" s="724">
        <v>133659</v>
      </c>
      <c r="F138" s="548">
        <v>127548</v>
      </c>
      <c r="G138" s="573">
        <f>SUM(F138)</f>
        <v>127548</v>
      </c>
      <c r="H138" s="548">
        <v>0</v>
      </c>
    </row>
    <row r="139" spans="1:8" s="25" customFormat="1" ht="12.75">
      <c r="A139" s="127"/>
      <c r="B139" s="130" t="s">
        <v>499</v>
      </c>
      <c r="C139" s="105"/>
      <c r="D139" s="100" t="s">
        <v>500</v>
      </c>
      <c r="E139" s="367">
        <f>SUM(E140:E141)</f>
        <v>5000</v>
      </c>
      <c r="F139" s="367">
        <f>SUM(F140:F141)</f>
        <v>1000</v>
      </c>
      <c r="G139" s="367">
        <f>SUM(G140:G141)</f>
        <v>1000</v>
      </c>
      <c r="H139" s="367">
        <f>SUM(H140:H141)</f>
        <v>0</v>
      </c>
    </row>
    <row r="140" spans="1:8" s="25" customFormat="1" ht="12.75">
      <c r="A140" s="127"/>
      <c r="B140" s="131"/>
      <c r="C140" s="135" t="s">
        <v>409</v>
      </c>
      <c r="D140" s="85" t="s">
        <v>410</v>
      </c>
      <c r="E140" s="573">
        <v>1000</v>
      </c>
      <c r="F140" s="548">
        <v>1000</v>
      </c>
      <c r="G140" s="376">
        <f>SUM(F140)</f>
        <v>1000</v>
      </c>
      <c r="H140" s="377">
        <v>0</v>
      </c>
    </row>
    <row r="141" spans="1:8" s="549" customFormat="1" ht="25.5" customHeight="1">
      <c r="A141" s="127"/>
      <c r="B141" s="135"/>
      <c r="C141" s="129" t="s">
        <v>438</v>
      </c>
      <c r="D141" s="612" t="s">
        <v>439</v>
      </c>
      <c r="E141" s="376">
        <v>4000</v>
      </c>
      <c r="F141" s="377">
        <v>0</v>
      </c>
      <c r="G141" s="376">
        <f>SUM(F141)</f>
        <v>0</v>
      </c>
      <c r="H141" s="377">
        <v>0</v>
      </c>
    </row>
    <row r="142" spans="1:8" s="25" customFormat="1" ht="12.75">
      <c r="A142" s="127"/>
      <c r="B142" s="135" t="s">
        <v>636</v>
      </c>
      <c r="C142" s="134"/>
      <c r="D142" s="111" t="s">
        <v>628</v>
      </c>
      <c r="E142" s="723">
        <f>SUM(E143:E143)</f>
        <v>78500</v>
      </c>
      <c r="F142" s="723">
        <f>SUM(F143:F143)</f>
        <v>0</v>
      </c>
      <c r="G142" s="723">
        <f>SUM(G143:G143)</f>
        <v>0</v>
      </c>
      <c r="H142" s="566">
        <f>SUM(H143:H143)</f>
        <v>0</v>
      </c>
    </row>
    <row r="143" spans="1:8" s="25" customFormat="1" ht="48">
      <c r="A143" s="134"/>
      <c r="B143" s="129"/>
      <c r="C143" s="105" t="s">
        <v>637</v>
      </c>
      <c r="D143" s="47" t="s">
        <v>235</v>
      </c>
      <c r="E143" s="376">
        <v>78500</v>
      </c>
      <c r="F143" s="377">
        <v>0</v>
      </c>
      <c r="G143" s="376">
        <v>0</v>
      </c>
      <c r="H143" s="377">
        <v>0</v>
      </c>
    </row>
    <row r="144" spans="1:8" s="25" customFormat="1" ht="25.5">
      <c r="A144" s="134">
        <v>853</v>
      </c>
      <c r="B144" s="129"/>
      <c r="C144" s="105"/>
      <c r="D144" s="100" t="s">
        <v>502</v>
      </c>
      <c r="E144" s="367">
        <f>SUM(E145,E149)</f>
        <v>874183</v>
      </c>
      <c r="F144" s="367">
        <f>SUM(F145,F149)</f>
        <v>851133</v>
      </c>
      <c r="G144" s="367">
        <f>SUM(G145,G149)</f>
        <v>851133</v>
      </c>
      <c r="H144" s="367">
        <f>SUM(H145,H149)</f>
        <v>0</v>
      </c>
    </row>
    <row r="145" spans="1:8" s="25" customFormat="1" ht="12.75">
      <c r="A145" s="128"/>
      <c r="B145" s="131" t="s">
        <v>503</v>
      </c>
      <c r="C145" s="105"/>
      <c r="D145" s="100" t="s">
        <v>504</v>
      </c>
      <c r="E145" s="367">
        <f>SUM(E146:E148)</f>
        <v>645000</v>
      </c>
      <c r="F145" s="367">
        <f>SUM(F146:F148)</f>
        <v>683400</v>
      </c>
      <c r="G145" s="367">
        <f>SUM(G146:G148)</f>
        <v>683400</v>
      </c>
      <c r="H145" s="367">
        <f>SUM(H146:H148)</f>
        <v>0</v>
      </c>
    </row>
    <row r="146" spans="1:8" s="25" customFormat="1" ht="12.75">
      <c r="A146" s="127"/>
      <c r="B146" s="131"/>
      <c r="C146" s="129" t="s">
        <v>409</v>
      </c>
      <c r="D146" s="47" t="s">
        <v>410</v>
      </c>
      <c r="E146" s="376">
        <v>2000</v>
      </c>
      <c r="F146" s="377">
        <v>2500</v>
      </c>
      <c r="G146" s="376">
        <f>SUM(F146)</f>
        <v>2500</v>
      </c>
      <c r="H146" s="377">
        <v>0</v>
      </c>
    </row>
    <row r="147" spans="1:8" s="25" customFormat="1" ht="12.75">
      <c r="A147" s="127"/>
      <c r="B147" s="130"/>
      <c r="C147" s="129" t="s">
        <v>619</v>
      </c>
      <c r="D147" s="47" t="s">
        <v>622</v>
      </c>
      <c r="E147" s="376">
        <v>69000</v>
      </c>
      <c r="F147" s="377">
        <v>60000</v>
      </c>
      <c r="G147" s="376">
        <f>SUM(F147)</f>
        <v>60000</v>
      </c>
      <c r="H147" s="377">
        <v>0</v>
      </c>
    </row>
    <row r="148" spans="1:8" s="25" customFormat="1" ht="60">
      <c r="A148" s="127"/>
      <c r="B148" s="130"/>
      <c r="C148" s="129" t="s">
        <v>234</v>
      </c>
      <c r="D148" s="47" t="s">
        <v>236</v>
      </c>
      <c r="E148" s="376">
        <v>574000</v>
      </c>
      <c r="F148" s="377">
        <v>620900</v>
      </c>
      <c r="G148" s="376">
        <f>SUM(F148)</f>
        <v>620900</v>
      </c>
      <c r="H148" s="377">
        <v>0</v>
      </c>
    </row>
    <row r="149" spans="1:8" s="25" customFormat="1" ht="12.75">
      <c r="A149" s="127"/>
      <c r="B149" s="105" t="s">
        <v>23</v>
      </c>
      <c r="C149" s="135"/>
      <c r="D149" s="589" t="s">
        <v>501</v>
      </c>
      <c r="E149" s="566">
        <f>SUM(E150)</f>
        <v>229183</v>
      </c>
      <c r="F149" s="566">
        <f>SUM(F150)</f>
        <v>167733</v>
      </c>
      <c r="G149" s="566">
        <f>SUM(G150)</f>
        <v>167733</v>
      </c>
      <c r="H149" s="566">
        <f>SUM(H150)</f>
        <v>0</v>
      </c>
    </row>
    <row r="150" spans="1:8" s="25" customFormat="1" ht="24">
      <c r="A150" s="132"/>
      <c r="B150" s="128"/>
      <c r="C150" s="135" t="s">
        <v>14</v>
      </c>
      <c r="D150" s="85" t="s">
        <v>33</v>
      </c>
      <c r="E150" s="573">
        <v>229183</v>
      </c>
      <c r="F150" s="548">
        <f>75861+91872</f>
        <v>167733</v>
      </c>
      <c r="G150" s="376">
        <v>167733</v>
      </c>
      <c r="H150" s="377">
        <v>0</v>
      </c>
    </row>
    <row r="151" spans="1:8" s="25" customFormat="1" ht="25.5">
      <c r="A151" s="128" t="s">
        <v>505</v>
      </c>
      <c r="B151" s="105"/>
      <c r="C151" s="105"/>
      <c r="D151" s="100" t="s">
        <v>506</v>
      </c>
      <c r="E151" s="367">
        <f>SUM(E152,E154,E158,E162,E164)</f>
        <v>123753</v>
      </c>
      <c r="F151" s="367">
        <f>SUM(F152,F154,F158,F162,F164)</f>
        <v>21220</v>
      </c>
      <c r="G151" s="367">
        <f>SUM(G152,G154,G158,G162,G164)</f>
        <v>21220</v>
      </c>
      <c r="H151" s="367">
        <f>SUM(H152,H154,H158,H162,H164)</f>
        <v>0</v>
      </c>
    </row>
    <row r="152" spans="1:8" s="25" customFormat="1" ht="25.5">
      <c r="A152" s="128"/>
      <c r="B152" s="129" t="s">
        <v>507</v>
      </c>
      <c r="C152" s="105"/>
      <c r="D152" s="100" t="s">
        <v>508</v>
      </c>
      <c r="E152" s="367">
        <f>SUM(E153:E153)</f>
        <v>6133</v>
      </c>
      <c r="F152" s="367">
        <f>SUM(F153:F153)</f>
        <v>3320</v>
      </c>
      <c r="G152" s="367">
        <f>SUM(G153:G153)</f>
        <v>3320</v>
      </c>
      <c r="H152" s="367">
        <f>SUM(H153:H153)</f>
        <v>0</v>
      </c>
    </row>
    <row r="153" spans="1:8" s="25" customFormat="1" ht="12.75">
      <c r="A153" s="127"/>
      <c r="B153" s="130"/>
      <c r="C153" s="135" t="s">
        <v>415</v>
      </c>
      <c r="D153" s="85" t="s">
        <v>416</v>
      </c>
      <c r="E153" s="715">
        <v>6133</v>
      </c>
      <c r="F153" s="715">
        <v>3320</v>
      </c>
      <c r="G153" s="376">
        <f>SUM(F153)</f>
        <v>3320</v>
      </c>
      <c r="H153" s="377">
        <v>0</v>
      </c>
    </row>
    <row r="154" spans="1:8" s="25" customFormat="1" ht="27.75" customHeight="1">
      <c r="A154" s="127"/>
      <c r="B154" s="129" t="s">
        <v>561</v>
      </c>
      <c r="C154" s="134"/>
      <c r="D154" s="111" t="s">
        <v>237</v>
      </c>
      <c r="E154" s="566">
        <f>SUM(E155:E157)</f>
        <v>23434</v>
      </c>
      <c r="F154" s="566">
        <f>SUM(F155:F157)</f>
        <v>500</v>
      </c>
      <c r="G154" s="566">
        <f>SUM(G155:G157)</f>
        <v>500</v>
      </c>
      <c r="H154" s="566">
        <f>SUM(H155:H157)</f>
        <v>0</v>
      </c>
    </row>
    <row r="155" spans="1:8" s="25" customFormat="1" ht="12.75">
      <c r="A155" s="127"/>
      <c r="B155" s="131"/>
      <c r="C155" s="135" t="s">
        <v>415</v>
      </c>
      <c r="D155" s="85" t="s">
        <v>416</v>
      </c>
      <c r="E155" s="551">
        <v>102</v>
      </c>
      <c r="F155" s="551">
        <v>0</v>
      </c>
      <c r="G155" s="376">
        <f>SUM(F155)</f>
        <v>0</v>
      </c>
      <c r="H155" s="377">
        <v>0</v>
      </c>
    </row>
    <row r="156" spans="1:8" s="25" customFormat="1" ht="12.75">
      <c r="A156" s="134"/>
      <c r="B156" s="135"/>
      <c r="C156" s="129" t="s">
        <v>409</v>
      </c>
      <c r="D156" s="47" t="s">
        <v>410</v>
      </c>
      <c r="E156" s="551">
        <v>560</v>
      </c>
      <c r="F156" s="551">
        <v>500</v>
      </c>
      <c r="G156" s="376">
        <f>SUM(F156)</f>
        <v>500</v>
      </c>
      <c r="H156" s="377"/>
    </row>
    <row r="157" spans="1:8" s="25" customFormat="1" ht="25.5" customHeight="1">
      <c r="A157" s="128" t="s">
        <v>505</v>
      </c>
      <c r="B157" s="129" t="s">
        <v>561</v>
      </c>
      <c r="C157" s="129" t="s">
        <v>438</v>
      </c>
      <c r="D157" s="552" t="s">
        <v>439</v>
      </c>
      <c r="E157" s="551">
        <v>22772</v>
      </c>
      <c r="F157" s="551">
        <v>0</v>
      </c>
      <c r="G157" s="376">
        <f>SUM(F157)</f>
        <v>0</v>
      </c>
      <c r="H157" s="377">
        <v>0</v>
      </c>
    </row>
    <row r="158" spans="1:8" s="25" customFormat="1" ht="15" customHeight="1">
      <c r="A158" s="128"/>
      <c r="B158" s="135" t="s">
        <v>563</v>
      </c>
      <c r="C158" s="134"/>
      <c r="D158" s="111" t="s">
        <v>564</v>
      </c>
      <c r="E158" s="566">
        <f>SUM(E159:E161)</f>
        <v>55400</v>
      </c>
      <c r="F158" s="566">
        <f>SUM(F159:F161)</f>
        <v>400</v>
      </c>
      <c r="G158" s="566">
        <f>SUM(G159:G161)</f>
        <v>400</v>
      </c>
      <c r="H158" s="566">
        <f>SUM(H159:H161)</f>
        <v>0</v>
      </c>
    </row>
    <row r="159" spans="1:8" s="25" customFormat="1" ht="14.25" customHeight="1">
      <c r="A159" s="127"/>
      <c r="B159" s="130"/>
      <c r="C159" s="135" t="s">
        <v>417</v>
      </c>
      <c r="D159" s="85" t="s">
        <v>418</v>
      </c>
      <c r="E159" s="715">
        <v>6000</v>
      </c>
      <c r="F159" s="715">
        <v>0</v>
      </c>
      <c r="G159" s="573">
        <v>0</v>
      </c>
      <c r="H159" s="548">
        <v>0</v>
      </c>
    </row>
    <row r="160" spans="1:8" s="25" customFormat="1" ht="12.75">
      <c r="A160" s="127"/>
      <c r="B160" s="130"/>
      <c r="C160" s="129" t="s">
        <v>409</v>
      </c>
      <c r="D160" s="47" t="s">
        <v>410</v>
      </c>
      <c r="E160" s="551">
        <v>400</v>
      </c>
      <c r="F160" s="551">
        <v>400</v>
      </c>
      <c r="G160" s="376">
        <f>SUM(F160)</f>
        <v>400</v>
      </c>
      <c r="H160" s="377">
        <v>0</v>
      </c>
    </row>
    <row r="161" spans="1:8" s="25" customFormat="1" ht="40.5" customHeight="1">
      <c r="A161" s="127"/>
      <c r="B161" s="130"/>
      <c r="C161" s="129" t="s">
        <v>15</v>
      </c>
      <c r="D161" s="47" t="s">
        <v>28</v>
      </c>
      <c r="E161" s="551">
        <v>49000</v>
      </c>
      <c r="F161" s="551">
        <v>0</v>
      </c>
      <c r="G161" s="376">
        <f>SUM(F161)</f>
        <v>0</v>
      </c>
      <c r="H161" s="377">
        <v>0</v>
      </c>
    </row>
    <row r="162" spans="1:8" s="550" customFormat="1" ht="12.75">
      <c r="A162" s="127"/>
      <c r="B162" s="131" t="s">
        <v>509</v>
      </c>
      <c r="C162" s="105"/>
      <c r="D162" s="100" t="s">
        <v>510</v>
      </c>
      <c r="E162" s="367">
        <f>SUM(E163:E163)</f>
        <v>22400</v>
      </c>
      <c r="F162" s="367">
        <f>SUM(F163:F163)</f>
        <v>0</v>
      </c>
      <c r="G162" s="367">
        <f>SUM(G163:G163)</f>
        <v>0</v>
      </c>
      <c r="H162" s="367">
        <f>SUM(H163:H163)</f>
        <v>0</v>
      </c>
    </row>
    <row r="163" spans="1:8" s="550" customFormat="1" ht="24" customHeight="1">
      <c r="A163" s="127"/>
      <c r="B163" s="129"/>
      <c r="C163" s="135" t="s">
        <v>438</v>
      </c>
      <c r="D163" s="47" t="s">
        <v>439</v>
      </c>
      <c r="E163" s="715">
        <v>22400</v>
      </c>
      <c r="F163" s="122">
        <v>0</v>
      </c>
      <c r="G163" s="376">
        <v>0</v>
      </c>
      <c r="H163" s="377">
        <v>0</v>
      </c>
    </row>
    <row r="164" spans="1:8" s="25" customFormat="1" ht="12.75">
      <c r="A164" s="127"/>
      <c r="B164" s="129" t="s">
        <v>511</v>
      </c>
      <c r="C164" s="129"/>
      <c r="D164" s="100" t="s">
        <v>512</v>
      </c>
      <c r="E164" s="367">
        <f>SUM(E165:E165)</f>
        <v>16386</v>
      </c>
      <c r="F164" s="367">
        <f>SUM(F165:F165)</f>
        <v>17000</v>
      </c>
      <c r="G164" s="367">
        <f>SUM(G165:G165)</f>
        <v>17000</v>
      </c>
      <c r="H164" s="367">
        <f>SUM(H165:H165)</f>
        <v>0</v>
      </c>
    </row>
    <row r="165" spans="1:8" s="25" customFormat="1" ht="12.75">
      <c r="A165" s="134"/>
      <c r="B165" s="135"/>
      <c r="C165" s="135" t="s">
        <v>415</v>
      </c>
      <c r="D165" s="85" t="s">
        <v>416</v>
      </c>
      <c r="E165" s="715">
        <v>16386</v>
      </c>
      <c r="F165" s="715">
        <v>17000</v>
      </c>
      <c r="G165" s="573">
        <f>SUM(F165)</f>
        <v>17000</v>
      </c>
      <c r="H165" s="548">
        <v>0</v>
      </c>
    </row>
    <row r="166" spans="1:8" s="25" customFormat="1" ht="12.75">
      <c r="A166" s="127" t="s">
        <v>574</v>
      </c>
      <c r="B166" s="105"/>
      <c r="C166" s="105"/>
      <c r="D166" s="100" t="s">
        <v>34</v>
      </c>
      <c r="E166" s="367">
        <f aca="true" t="shared" si="3" ref="E166:H167">SUM(E167)</f>
        <v>10000</v>
      </c>
      <c r="F166" s="367">
        <f t="shared" si="3"/>
        <v>0</v>
      </c>
      <c r="G166" s="367">
        <f t="shared" si="3"/>
        <v>0</v>
      </c>
      <c r="H166" s="367">
        <f t="shared" si="3"/>
        <v>0</v>
      </c>
    </row>
    <row r="167" spans="1:8" s="25" customFormat="1" ht="12.75">
      <c r="A167" s="128"/>
      <c r="B167" s="129" t="s">
        <v>576</v>
      </c>
      <c r="C167" s="105"/>
      <c r="D167" s="100" t="s">
        <v>501</v>
      </c>
      <c r="E167" s="367">
        <f t="shared" si="3"/>
        <v>10000</v>
      </c>
      <c r="F167" s="367">
        <f t="shared" si="3"/>
        <v>0</v>
      </c>
      <c r="G167" s="367">
        <f t="shared" si="3"/>
        <v>0</v>
      </c>
      <c r="H167" s="367">
        <f t="shared" si="3"/>
        <v>0</v>
      </c>
    </row>
    <row r="168" spans="1:8" s="25" customFormat="1" ht="36">
      <c r="A168" s="134"/>
      <c r="B168" s="135"/>
      <c r="C168" s="135" t="s">
        <v>634</v>
      </c>
      <c r="D168" s="85" t="s">
        <v>35</v>
      </c>
      <c r="E168" s="715">
        <v>10000</v>
      </c>
      <c r="F168" s="715">
        <v>0</v>
      </c>
      <c r="G168" s="376">
        <f>SUM(F168)</f>
        <v>0</v>
      </c>
      <c r="H168" s="377">
        <v>0</v>
      </c>
    </row>
    <row r="169" spans="1:8" s="36" customFormat="1" ht="14.25">
      <c r="A169" s="820" t="s">
        <v>513</v>
      </c>
      <c r="B169" s="821"/>
      <c r="C169" s="821"/>
      <c r="D169" s="821"/>
      <c r="E169" s="725">
        <f>SUM(E11,E14,E17,E28,E31,E38,E46,E60,E67,E75,E84,E113,E116,E144,E151,E166)</f>
        <v>63042125</v>
      </c>
      <c r="F169" s="725">
        <f>SUM(F11,F14,F17,F28,F31,F38,F46,F60,F67,F75,F84,F113,F116,F144,F151,F166)</f>
        <v>79661634</v>
      </c>
      <c r="G169" s="725">
        <f>SUM(G11,G14,G17,G28,G31,G38,G46,G60,G67,G75,G84,G113,G116,G144,G151,G166)</f>
        <v>68046850</v>
      </c>
      <c r="H169" s="725">
        <f>SUM(H11,H14,H17,H28,H31,H38,H46,H60,H67,H75,H84,H113,H116,H144,H151,H166)</f>
        <v>11614784</v>
      </c>
    </row>
    <row r="170" spans="1:8" s="37" customFormat="1" ht="12.75">
      <c r="A170" s="822" t="s">
        <v>755</v>
      </c>
      <c r="B170" s="822"/>
      <c r="C170" s="822"/>
      <c r="D170" s="822"/>
      <c r="E170" s="103"/>
      <c r="F170" s="103"/>
      <c r="G170" s="719"/>
      <c r="H170" s="547"/>
    </row>
    <row r="171" spans="1:8" s="37" customFormat="1" ht="12.75">
      <c r="A171" s="812" t="s">
        <v>303</v>
      </c>
      <c r="B171" s="813"/>
      <c r="C171" s="814" t="s">
        <v>638</v>
      </c>
      <c r="D171" s="815"/>
      <c r="E171" s="490">
        <f>SUM(E172:E175)</f>
        <v>9193571</v>
      </c>
      <c r="F171" s="490">
        <f>SUM(F172:F175)</f>
        <v>14130720</v>
      </c>
      <c r="G171" s="490">
        <f>SUM(G172:G175)</f>
        <v>9754126</v>
      </c>
      <c r="H171" s="235">
        <f>SUM(H172:H175)</f>
        <v>4376594</v>
      </c>
    </row>
    <row r="172" spans="1:8" ht="12.75">
      <c r="A172" s="823"/>
      <c r="B172" s="809"/>
      <c r="C172" s="824" t="s">
        <v>639</v>
      </c>
      <c r="D172" s="825"/>
      <c r="E172" s="376">
        <f>SUM(E13,E37,E40,E42,E45,E48,E59,E63,E66,E115,E133)</f>
        <v>5635741</v>
      </c>
      <c r="F172" s="376">
        <f>SUM(F13,F37,F40,F42,F45,F48,F59,F63,F66,F115,F133)</f>
        <v>5796979</v>
      </c>
      <c r="G172" s="376">
        <f>SUM(G13,G37,G40,G42,G45,G48,G59,G63,G66,G115,G133)</f>
        <v>5396979</v>
      </c>
      <c r="H172" s="376">
        <f>SUM(H13,H37,H40,H42,H45,H48,H59,H63,H66,H115,H133)</f>
        <v>400000</v>
      </c>
    </row>
    <row r="173" spans="1:8" ht="12.75">
      <c r="A173" s="808"/>
      <c r="B173" s="809"/>
      <c r="C173" s="810" t="s">
        <v>640</v>
      </c>
      <c r="D173" s="811"/>
      <c r="E173" s="377">
        <f>SUM(E109,E120,E128,E141,E157,E163)</f>
        <v>3201669</v>
      </c>
      <c r="F173" s="377">
        <f>SUM(F109,F120,F128,F141,F157,F163)</f>
        <v>3165000</v>
      </c>
      <c r="G173" s="377">
        <f>SUM(G109,G120,G128,G141,G157,G163)</f>
        <v>3165000</v>
      </c>
      <c r="H173" s="377">
        <f>SUM(H109,H120,H128,H141,H157,H163)</f>
        <v>0</v>
      </c>
    </row>
    <row r="174" spans="1:8" ht="12.75">
      <c r="A174" s="816"/>
      <c r="B174" s="817"/>
      <c r="C174" s="818" t="s">
        <v>181</v>
      </c>
      <c r="D174" s="819"/>
      <c r="E174" s="630">
        <f>SUM(E27,E30,E56,E121,E137,E138,E23,E25,E26,E110,E161,E64)</f>
        <v>277661</v>
      </c>
      <c r="F174" s="630">
        <f>SUM(F27,F30,F56,F121,F137,F138,F23,F25,F26,F110,F161,F64)</f>
        <v>5168741</v>
      </c>
      <c r="G174" s="630">
        <f>SUM(G27,G30,G56,G121,G137,G138,G23,G25,G26,G110,G161,G64)</f>
        <v>1192147</v>
      </c>
      <c r="H174" s="630">
        <f>SUM(H27,H30,H56,H121,H137,H138,H23,H25,H26,H110,H161,H64)</f>
        <v>3976594</v>
      </c>
    </row>
    <row r="175" spans="1:8" ht="12.75">
      <c r="A175" s="816"/>
      <c r="B175" s="817"/>
      <c r="C175" s="818" t="s">
        <v>641</v>
      </c>
      <c r="D175" s="819"/>
      <c r="E175" s="630">
        <f>SUM(E143)</f>
        <v>78500</v>
      </c>
      <c r="F175" s="630">
        <f>SUM(F143)</f>
        <v>0</v>
      </c>
      <c r="G175" s="630">
        <f>SUM(G143)</f>
        <v>0</v>
      </c>
      <c r="H175" s="630">
        <f>SUM(H143)</f>
        <v>0</v>
      </c>
    </row>
    <row r="176" spans="1:8" s="38" customFormat="1" ht="12.75">
      <c r="A176" s="812" t="s">
        <v>304</v>
      </c>
      <c r="B176" s="813"/>
      <c r="C176" s="814" t="s">
        <v>277</v>
      </c>
      <c r="D176" s="815"/>
      <c r="E176" s="235">
        <f>SUM(E24,E65,E129,E130,E150,E168)</f>
        <v>378183</v>
      </c>
      <c r="F176" s="235">
        <f>SUM(F24,F65,F129,F130,F150,F168)</f>
        <v>7268879</v>
      </c>
      <c r="G176" s="235">
        <f>SUM(G24,G65,G129,G130,G150,G168)</f>
        <v>167733</v>
      </c>
      <c r="H176" s="235">
        <f>SUM(H24,H65,H129,H130,H150,H168)</f>
        <v>7101146</v>
      </c>
    </row>
    <row r="177" spans="1:8" s="38" customFormat="1" ht="12.75">
      <c r="A177" s="812" t="s">
        <v>305</v>
      </c>
      <c r="B177" s="813"/>
      <c r="C177" s="814" t="s">
        <v>642</v>
      </c>
      <c r="D177" s="815"/>
      <c r="E177" s="235">
        <f>SUM(E16,E99,E105,E148)</f>
        <v>1051344</v>
      </c>
      <c r="F177" s="235">
        <f>SUM(F16,F99,F105,F148)</f>
        <v>1102900</v>
      </c>
      <c r="G177" s="235">
        <f>SUM(G16,G99,G105,G148)</f>
        <v>1102900</v>
      </c>
      <c r="H177" s="235">
        <f>SUM(H16,H99,H105,H148)</f>
        <v>0</v>
      </c>
    </row>
    <row r="179" spans="1:8" s="1" customFormat="1" ht="15">
      <c r="A179" s="123"/>
      <c r="B179" s="124"/>
      <c r="C179" s="125"/>
      <c r="D179" s="555"/>
      <c r="E179" s="126"/>
      <c r="F179" s="126"/>
      <c r="G179" s="126"/>
      <c r="H179" s="126"/>
    </row>
    <row r="180" ht="12.75">
      <c r="F180" s="117"/>
    </row>
  </sheetData>
  <mergeCells count="23">
    <mergeCell ref="A169:D169"/>
    <mergeCell ref="A170:D170"/>
    <mergeCell ref="A172:B172"/>
    <mergeCell ref="C172:D172"/>
    <mergeCell ref="A171:B171"/>
    <mergeCell ref="C171:D171"/>
    <mergeCell ref="A173:B173"/>
    <mergeCell ref="C173:D173"/>
    <mergeCell ref="A177:B177"/>
    <mergeCell ref="C177:D177"/>
    <mergeCell ref="A174:B174"/>
    <mergeCell ref="C174:D174"/>
    <mergeCell ref="A175:B175"/>
    <mergeCell ref="C175:D175"/>
    <mergeCell ref="A176:B176"/>
    <mergeCell ref="C176:D176"/>
    <mergeCell ref="E8:E9"/>
    <mergeCell ref="F8:F9"/>
    <mergeCell ref="G8:H8"/>
    <mergeCell ref="A8:A9"/>
    <mergeCell ref="B8:B9"/>
    <mergeCell ref="C8:C9"/>
    <mergeCell ref="D8:D9"/>
  </mergeCells>
  <printOptions/>
  <pageMargins left="0.84" right="0.23" top="0.25" bottom="0.41" header="0.25" footer="0.18"/>
  <pageSetup horizontalDpi="600" verticalDpi="600" orientation="portrait" paperSize="9" r:id="rId2"/>
  <headerFooter alignWithMargins="0">
    <oddFooter>&amp;CStrona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0"/>
  <dimension ref="A1:G26"/>
  <sheetViews>
    <sheetView workbookViewId="0" topLeftCell="A1">
      <selection activeCell="F12" sqref="F12"/>
    </sheetView>
  </sheetViews>
  <sheetFormatPr defaultColWidth="9.00390625" defaultRowHeight="12.75"/>
  <cols>
    <col min="1" max="2" width="7.875" style="0" customWidth="1"/>
    <col min="3" max="3" width="8.125" style="0" customWidth="1"/>
    <col min="4" max="4" width="71.125" style="0" customWidth="1"/>
    <col min="5" max="5" width="18.625" style="0" customWidth="1"/>
    <col min="7" max="7" width="11.25390625" style="0" bestFit="1" customWidth="1"/>
  </cols>
  <sheetData>
    <row r="1" spans="4:6" ht="12.75">
      <c r="D1" s="61"/>
      <c r="E1" s="61" t="s">
        <v>698</v>
      </c>
      <c r="F1" s="61"/>
    </row>
    <row r="2" spans="4:6" ht="14.25">
      <c r="D2" s="60"/>
      <c r="E2" s="60" t="s">
        <v>761</v>
      </c>
      <c r="F2" s="60"/>
    </row>
    <row r="3" spans="4:6" ht="14.25">
      <c r="D3" s="60"/>
      <c r="E3" s="60" t="s">
        <v>24</v>
      </c>
      <c r="F3" s="60"/>
    </row>
    <row r="4" spans="4:5" ht="12.75">
      <c r="D4" s="968"/>
      <c r="E4" s="968"/>
    </row>
    <row r="5" spans="1:5" ht="18">
      <c r="A5" s="969" t="s">
        <v>164</v>
      </c>
      <c r="B5" s="969"/>
      <c r="C5" s="969"/>
      <c r="D5" s="969"/>
      <c r="E5" s="969"/>
    </row>
    <row r="6" spans="4:5" ht="7.5" customHeight="1" thickBot="1">
      <c r="D6" s="170"/>
      <c r="E6" s="170"/>
    </row>
    <row r="7" spans="1:5" s="205" customFormat="1" ht="9" customHeight="1">
      <c r="A7" s="970" t="s">
        <v>362</v>
      </c>
      <c r="B7" s="973" t="s">
        <v>295</v>
      </c>
      <c r="C7" s="973" t="s">
        <v>296</v>
      </c>
      <c r="D7" s="976" t="s">
        <v>308</v>
      </c>
      <c r="E7" s="978" t="s">
        <v>699</v>
      </c>
    </row>
    <row r="8" spans="1:5" s="205" customFormat="1" ht="6" customHeight="1">
      <c r="A8" s="971"/>
      <c r="B8" s="974"/>
      <c r="C8" s="974"/>
      <c r="D8" s="977"/>
      <c r="E8" s="979"/>
    </row>
    <row r="9" spans="1:5" s="171" customFormat="1" ht="12.75" hidden="1">
      <c r="A9" s="972"/>
      <c r="B9" s="975"/>
      <c r="C9" s="975"/>
      <c r="D9" s="679"/>
      <c r="E9" s="680"/>
    </row>
    <row r="10" spans="1:5" s="171" customFormat="1" ht="11.25" customHeight="1">
      <c r="A10" s="681">
        <v>1</v>
      </c>
      <c r="B10" s="682">
        <v>2</v>
      </c>
      <c r="C10" s="682">
        <v>3</v>
      </c>
      <c r="D10" s="683">
        <v>4</v>
      </c>
      <c r="E10" s="684">
        <v>5</v>
      </c>
    </row>
    <row r="11" spans="1:5" s="214" customFormat="1" ht="24.75" customHeight="1">
      <c r="A11" s="962">
        <v>1</v>
      </c>
      <c r="B11" s="963">
        <v>801</v>
      </c>
      <c r="C11" s="963">
        <v>80120</v>
      </c>
      <c r="D11" s="670" t="s">
        <v>69</v>
      </c>
      <c r="E11" s="673">
        <v>42900</v>
      </c>
    </row>
    <row r="12" spans="1:5" s="214" customFormat="1" ht="36">
      <c r="A12" s="962"/>
      <c r="B12" s="963"/>
      <c r="C12" s="963"/>
      <c r="D12" s="670" t="s">
        <v>165</v>
      </c>
      <c r="E12" s="673">
        <f>13992+7920+3960</f>
        <v>25872</v>
      </c>
    </row>
    <row r="13" spans="1:5" s="214" customFormat="1" ht="12.75" customHeight="1">
      <c r="A13" s="962"/>
      <c r="B13" s="963"/>
      <c r="C13" s="963"/>
      <c r="D13" s="248" t="s">
        <v>706</v>
      </c>
      <c r="E13" s="674">
        <f>SUM(E11:E12)</f>
        <v>68772</v>
      </c>
    </row>
    <row r="14" spans="1:5" s="214" customFormat="1" ht="36" customHeight="1">
      <c r="A14" s="964">
        <f>SUM(A11+1)</f>
        <v>2</v>
      </c>
      <c r="B14" s="966">
        <v>801</v>
      </c>
      <c r="C14" s="966">
        <v>80130</v>
      </c>
      <c r="D14" s="671" t="s">
        <v>70</v>
      </c>
      <c r="E14" s="675">
        <v>105600</v>
      </c>
    </row>
    <row r="15" spans="1:5" s="214" customFormat="1" ht="24" customHeight="1">
      <c r="A15" s="965"/>
      <c r="B15" s="967"/>
      <c r="C15" s="967"/>
      <c r="D15" s="671" t="s">
        <v>71</v>
      </c>
      <c r="E15" s="675">
        <v>28600</v>
      </c>
    </row>
    <row r="16" spans="1:5" s="214" customFormat="1" ht="25.5" customHeight="1">
      <c r="A16" s="965"/>
      <c r="B16" s="967"/>
      <c r="C16" s="967"/>
      <c r="D16" s="672" t="s">
        <v>72</v>
      </c>
      <c r="E16" s="675">
        <v>39600</v>
      </c>
    </row>
    <row r="17" spans="1:5" s="214" customFormat="1" ht="24.75" customHeight="1">
      <c r="A17" s="965"/>
      <c r="B17" s="967"/>
      <c r="C17" s="967"/>
      <c r="D17" s="672" t="s">
        <v>73</v>
      </c>
      <c r="E17" s="675">
        <v>39600</v>
      </c>
    </row>
    <row r="18" spans="1:5" s="214" customFormat="1" ht="24" customHeight="1">
      <c r="A18" s="965"/>
      <c r="B18" s="967"/>
      <c r="C18" s="967"/>
      <c r="D18" s="672" t="s">
        <v>74</v>
      </c>
      <c r="E18" s="675">
        <v>26400</v>
      </c>
    </row>
    <row r="19" spans="1:5" s="214" customFormat="1" ht="24">
      <c r="A19" s="965"/>
      <c r="B19" s="967"/>
      <c r="C19" s="967"/>
      <c r="D19" s="672" t="s">
        <v>166</v>
      </c>
      <c r="E19" s="675">
        <v>168000</v>
      </c>
    </row>
    <row r="20" spans="1:7" s="214" customFormat="1" ht="25.5" customHeight="1">
      <c r="A20" s="965"/>
      <c r="B20" s="967"/>
      <c r="C20" s="967"/>
      <c r="D20" s="672" t="s">
        <v>75</v>
      </c>
      <c r="E20" s="675">
        <v>218456</v>
      </c>
      <c r="G20" s="250"/>
    </row>
    <row r="21" spans="1:5" s="215" customFormat="1" ht="15" customHeight="1">
      <c r="A21" s="965"/>
      <c r="B21" s="967"/>
      <c r="C21" s="967"/>
      <c r="D21" s="249" t="s">
        <v>706</v>
      </c>
      <c r="E21" s="676">
        <f>SUM(E14:E20)</f>
        <v>626256</v>
      </c>
    </row>
    <row r="22" spans="1:5" s="215" customFormat="1" ht="15" customHeight="1">
      <c r="A22" s="983">
        <v>3</v>
      </c>
      <c r="B22" s="984">
        <v>853</v>
      </c>
      <c r="C22" s="984">
        <v>85311</v>
      </c>
      <c r="D22" s="644" t="s">
        <v>729</v>
      </c>
      <c r="E22" s="675">
        <v>76857</v>
      </c>
    </row>
    <row r="23" spans="1:5" ht="12.75">
      <c r="A23" s="983"/>
      <c r="B23" s="984"/>
      <c r="C23" s="984"/>
      <c r="D23" s="644" t="s">
        <v>730</v>
      </c>
      <c r="E23" s="675">
        <v>48909</v>
      </c>
    </row>
    <row r="24" spans="1:5" ht="12.75">
      <c r="A24" s="983"/>
      <c r="B24" s="984"/>
      <c r="C24" s="984"/>
      <c r="D24" s="644" t="s">
        <v>731</v>
      </c>
      <c r="E24" s="675">
        <v>41922</v>
      </c>
    </row>
    <row r="25" spans="1:5" ht="13.5" customHeight="1">
      <c r="A25" s="983"/>
      <c r="B25" s="984"/>
      <c r="C25" s="984"/>
      <c r="D25" s="669" t="s">
        <v>706</v>
      </c>
      <c r="E25" s="677">
        <f>SUM(E22:E24)</f>
        <v>167688</v>
      </c>
    </row>
    <row r="26" spans="1:5" ht="16.5" customHeight="1" thickBot="1">
      <c r="A26" s="980" t="s">
        <v>607</v>
      </c>
      <c r="B26" s="981"/>
      <c r="C26" s="981"/>
      <c r="D26" s="982"/>
      <c r="E26" s="678">
        <f>E13+E21+E25</f>
        <v>862716</v>
      </c>
    </row>
  </sheetData>
  <mergeCells count="17">
    <mergeCell ref="A26:D26"/>
    <mergeCell ref="C14:C21"/>
    <mergeCell ref="A22:A25"/>
    <mergeCell ref="B22:B25"/>
    <mergeCell ref="C22:C25"/>
    <mergeCell ref="D4:E4"/>
    <mergeCell ref="A5:E5"/>
    <mergeCell ref="A7:A9"/>
    <mergeCell ref="B7:B9"/>
    <mergeCell ref="C7:C9"/>
    <mergeCell ref="D7:D8"/>
    <mergeCell ref="E7:E8"/>
    <mergeCell ref="A11:A13"/>
    <mergeCell ref="B11:B13"/>
    <mergeCell ref="C11:C13"/>
    <mergeCell ref="A14:A21"/>
    <mergeCell ref="B14:B21"/>
  </mergeCells>
  <printOptions/>
  <pageMargins left="1.44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1"/>
  <dimension ref="A1:G20"/>
  <sheetViews>
    <sheetView workbookViewId="0" topLeftCell="A1">
      <selection activeCell="E2" sqref="E2"/>
    </sheetView>
  </sheetViews>
  <sheetFormatPr defaultColWidth="9.00390625" defaultRowHeight="12.75"/>
  <cols>
    <col min="1" max="1" width="16.75390625" style="0" customWidth="1"/>
    <col min="2" max="2" width="8.75390625" style="0" customWidth="1"/>
    <col min="3" max="3" width="10.00390625" style="0" customWidth="1"/>
    <col min="4" max="4" width="60.125" style="0" customWidth="1"/>
    <col min="5" max="5" width="20.125" style="0" customWidth="1"/>
  </cols>
  <sheetData>
    <row r="1" spans="4:6" ht="12.75">
      <c r="D1" s="61"/>
      <c r="E1" s="48" t="s">
        <v>707</v>
      </c>
      <c r="F1" s="61"/>
    </row>
    <row r="2" spans="4:6" ht="14.25">
      <c r="D2" s="60"/>
      <c r="E2" s="60" t="s">
        <v>761</v>
      </c>
      <c r="F2" s="60"/>
    </row>
    <row r="3" spans="4:6" ht="14.25">
      <c r="D3" s="60"/>
      <c r="E3" s="60" t="s">
        <v>24</v>
      </c>
      <c r="F3" s="60"/>
    </row>
    <row r="5" spans="1:6" ht="18" customHeight="1">
      <c r="A5" s="969" t="s">
        <v>700</v>
      </c>
      <c r="B5" s="969"/>
      <c r="C5" s="969"/>
      <c r="D5" s="969"/>
      <c r="E5" s="969"/>
      <c r="F5" s="969"/>
    </row>
    <row r="6" spans="3:5" ht="18">
      <c r="C6" s="969" t="s">
        <v>44</v>
      </c>
      <c r="D6" s="985"/>
      <c r="E6" s="985"/>
    </row>
    <row r="7" ht="13.5" thickBot="1"/>
    <row r="8" spans="2:5" s="216" customFormat="1" ht="30.75" customHeight="1" thickBot="1">
      <c r="B8" s="267" t="s">
        <v>295</v>
      </c>
      <c r="C8" s="268" t="s">
        <v>296</v>
      </c>
      <c r="D8" s="268" t="s">
        <v>357</v>
      </c>
      <c r="E8" s="269" t="s">
        <v>699</v>
      </c>
    </row>
    <row r="9" spans="2:5" s="216" customFormat="1" ht="13.5" thickBot="1">
      <c r="B9" s="270">
        <v>1</v>
      </c>
      <c r="C9" s="271">
        <v>2</v>
      </c>
      <c r="D9" s="271">
        <v>3</v>
      </c>
      <c r="E9" s="272">
        <v>4</v>
      </c>
    </row>
    <row r="10" spans="2:5" s="217" customFormat="1" ht="21" customHeight="1">
      <c r="B10" s="284">
        <v>750</v>
      </c>
      <c r="C10" s="285">
        <v>75095</v>
      </c>
      <c r="D10" s="277" t="s">
        <v>754</v>
      </c>
      <c r="E10" s="278">
        <v>2500</v>
      </c>
    </row>
    <row r="11" spans="2:7" s="217" customFormat="1" ht="24">
      <c r="B11" s="274">
        <v>754</v>
      </c>
      <c r="C11" s="275">
        <v>75415</v>
      </c>
      <c r="D11" s="276" t="s">
        <v>43</v>
      </c>
      <c r="E11" s="273">
        <v>8000</v>
      </c>
      <c r="G11" s="279"/>
    </row>
    <row r="12" spans="2:5" s="217" customFormat="1" ht="18" customHeight="1">
      <c r="B12" s="274">
        <v>851</v>
      </c>
      <c r="C12" s="275">
        <v>85195</v>
      </c>
      <c r="D12" s="276" t="s">
        <v>604</v>
      </c>
      <c r="E12" s="273">
        <v>4500</v>
      </c>
    </row>
    <row r="13" spans="2:5" s="217" customFormat="1" ht="18" customHeight="1">
      <c r="B13" s="274">
        <v>854</v>
      </c>
      <c r="C13" s="275">
        <v>85204</v>
      </c>
      <c r="D13" s="276" t="s">
        <v>135</v>
      </c>
      <c r="E13" s="273">
        <v>40000</v>
      </c>
    </row>
    <row r="14" spans="2:5" s="217" customFormat="1" ht="24">
      <c r="B14" s="274">
        <v>854</v>
      </c>
      <c r="C14" s="275">
        <v>85415</v>
      </c>
      <c r="D14" s="276" t="s">
        <v>605</v>
      </c>
      <c r="E14" s="273">
        <v>12000</v>
      </c>
    </row>
    <row r="15" spans="2:5" s="217" customFormat="1" ht="18" customHeight="1">
      <c r="B15" s="274">
        <v>921</v>
      </c>
      <c r="C15" s="275">
        <v>92105</v>
      </c>
      <c r="D15" s="276" t="s">
        <v>703</v>
      </c>
      <c r="E15" s="273">
        <v>13500</v>
      </c>
    </row>
    <row r="16" spans="2:5" s="217" customFormat="1" ht="24.75" thickBot="1">
      <c r="B16" s="282">
        <v>926</v>
      </c>
      <c r="C16" s="283">
        <v>92695</v>
      </c>
      <c r="D16" s="281" t="s">
        <v>606</v>
      </c>
      <c r="E16" s="280">
        <v>36000</v>
      </c>
    </row>
    <row r="17" spans="2:5" s="187" customFormat="1" ht="27" customHeight="1" thickBot="1">
      <c r="B17" s="986" t="s">
        <v>366</v>
      </c>
      <c r="C17" s="987"/>
      <c r="D17" s="988"/>
      <c r="E17" s="392">
        <f>SUM(E10:E16)</f>
        <v>116500</v>
      </c>
    </row>
    <row r="20" ht="12.75">
      <c r="E20" s="544"/>
    </row>
  </sheetData>
  <mergeCells count="3">
    <mergeCell ref="C6:E6"/>
    <mergeCell ref="B17:D17"/>
    <mergeCell ref="A5:F5"/>
  </mergeCells>
  <printOptions/>
  <pageMargins left="0.75" right="0.75" top="1.41" bottom="1" header="0.9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2"/>
  <dimension ref="A1:F16"/>
  <sheetViews>
    <sheetView workbookViewId="0" topLeftCell="A1">
      <selection activeCell="E2" sqref="E2"/>
    </sheetView>
  </sheetViews>
  <sheetFormatPr defaultColWidth="9.00390625" defaultRowHeight="12.75"/>
  <cols>
    <col min="1" max="1" width="8.875" style="0" customWidth="1"/>
    <col min="4" max="4" width="64.25390625" style="0" customWidth="1"/>
    <col min="5" max="5" width="18.625" style="0" customWidth="1"/>
  </cols>
  <sheetData>
    <row r="1" spans="3:6" ht="15">
      <c r="C1" s="61"/>
      <c r="D1" s="61"/>
      <c r="E1" s="48" t="s">
        <v>708</v>
      </c>
      <c r="F1" s="78"/>
    </row>
    <row r="2" spans="3:6" ht="14.25">
      <c r="C2" s="60"/>
      <c r="D2" s="60"/>
      <c r="E2" s="60" t="s">
        <v>761</v>
      </c>
      <c r="F2" s="81"/>
    </row>
    <row r="3" spans="3:6" ht="14.25">
      <c r="C3" s="60"/>
      <c r="D3" s="60"/>
      <c r="E3" s="60" t="s">
        <v>24</v>
      </c>
      <c r="F3" s="81"/>
    </row>
    <row r="5" spans="4:5" ht="18">
      <c r="D5" s="23" t="s">
        <v>61</v>
      </c>
      <c r="E5" s="2"/>
    </row>
    <row r="6" ht="12.75">
      <c r="E6" s="71" t="s">
        <v>359</v>
      </c>
    </row>
    <row r="7" spans="1:5" s="171" customFormat="1" ht="12.75">
      <c r="A7" s="989" t="s">
        <v>295</v>
      </c>
      <c r="B7" s="989" t="s">
        <v>296</v>
      </c>
      <c r="C7" s="991" t="s">
        <v>392</v>
      </c>
      <c r="D7" s="253"/>
      <c r="E7" s="253"/>
    </row>
    <row r="8" spans="1:5" s="205" customFormat="1" ht="12.75">
      <c r="A8" s="990"/>
      <c r="B8" s="990"/>
      <c r="C8" s="992"/>
      <c r="D8" s="245" t="s">
        <v>297</v>
      </c>
      <c r="E8" s="245" t="s">
        <v>699</v>
      </c>
    </row>
    <row r="9" spans="1:5" s="205" customFormat="1" ht="12.75">
      <c r="A9" s="990"/>
      <c r="B9" s="990"/>
      <c r="C9" s="992"/>
      <c r="D9" s="254"/>
      <c r="E9" s="254"/>
    </row>
    <row r="10" spans="1:5" s="218" customFormat="1" ht="14.25" customHeight="1">
      <c r="A10" s="251">
        <v>1</v>
      </c>
      <c r="B10" s="251">
        <v>2</v>
      </c>
      <c r="C10" s="252">
        <v>3</v>
      </c>
      <c r="D10" s="255">
        <v>4</v>
      </c>
      <c r="E10" s="256">
        <v>5</v>
      </c>
    </row>
    <row r="11" spans="1:5" s="218" customFormat="1" ht="18" customHeight="1">
      <c r="A11" s="257">
        <v>851</v>
      </c>
      <c r="B11" s="257"/>
      <c r="C11" s="258"/>
      <c r="D11" s="259" t="s">
        <v>609</v>
      </c>
      <c r="E11" s="260">
        <f>SUM(E12)</f>
        <v>358419</v>
      </c>
    </row>
    <row r="12" spans="1:5" s="218" customFormat="1" ht="18" customHeight="1">
      <c r="A12" s="261"/>
      <c r="B12" s="577">
        <v>85111</v>
      </c>
      <c r="C12" s="258"/>
      <c r="D12" s="262" t="s">
        <v>610</v>
      </c>
      <c r="E12" s="263">
        <f>SUM(E13:E14)</f>
        <v>358419</v>
      </c>
    </row>
    <row r="13" spans="1:5" s="218" customFormat="1" ht="63.75">
      <c r="A13" s="575"/>
      <c r="B13" s="261"/>
      <c r="C13" s="559">
        <v>2565</v>
      </c>
      <c r="D13" s="578" t="s">
        <v>62</v>
      </c>
      <c r="E13" s="579">
        <v>38419</v>
      </c>
    </row>
    <row r="14" spans="1:5" s="218" customFormat="1" ht="56.25" customHeight="1">
      <c r="A14" s="576"/>
      <c r="B14" s="246"/>
      <c r="C14" s="559">
        <v>6220</v>
      </c>
      <c r="D14" s="264" t="s">
        <v>63</v>
      </c>
      <c r="E14" s="265">
        <v>320000</v>
      </c>
    </row>
    <row r="15" spans="1:5" s="213" customFormat="1" ht="21.75" customHeight="1">
      <c r="A15" s="993" t="s">
        <v>607</v>
      </c>
      <c r="B15" s="994"/>
      <c r="C15" s="995"/>
      <c r="D15" s="996"/>
      <c r="E15" s="266">
        <f>SUM(E11)</f>
        <v>358419</v>
      </c>
    </row>
    <row r="16" ht="25.5" customHeight="1">
      <c r="A16" s="89"/>
    </row>
  </sheetData>
  <mergeCells count="4">
    <mergeCell ref="A7:A9"/>
    <mergeCell ref="B7:B9"/>
    <mergeCell ref="C7:C9"/>
    <mergeCell ref="A15:D15"/>
  </mergeCells>
  <printOptions/>
  <pageMargins left="1.33" right="0.75" top="1.5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3"/>
  <dimension ref="A1:J37"/>
  <sheetViews>
    <sheetView workbookViewId="0" topLeftCell="A1">
      <selection activeCell="A2" sqref="A2:C2"/>
    </sheetView>
  </sheetViews>
  <sheetFormatPr defaultColWidth="9.00390625" defaultRowHeight="12.75"/>
  <cols>
    <col min="1" max="1" width="5.25390625" style="1" bestFit="1" customWidth="1"/>
    <col min="2" max="2" width="60.625" style="1" customWidth="1"/>
    <col min="3" max="3" width="17.75390625" style="1" customWidth="1"/>
    <col min="4" max="16384" width="9.125" style="1" customWidth="1"/>
  </cols>
  <sheetData>
    <row r="1" spans="1:10" ht="17.25" customHeight="1">
      <c r="A1" s="997" t="s">
        <v>324</v>
      </c>
      <c r="B1" s="997"/>
      <c r="C1" s="997"/>
      <c r="D1" s="6"/>
      <c r="E1" s="6"/>
      <c r="F1" s="6"/>
      <c r="G1" s="6"/>
      <c r="H1" s="6"/>
      <c r="I1" s="6"/>
      <c r="J1" s="6"/>
    </row>
    <row r="2" spans="1:7" ht="16.5" customHeight="1">
      <c r="A2" s="997" t="s">
        <v>611</v>
      </c>
      <c r="B2" s="997"/>
      <c r="C2" s="997"/>
      <c r="D2" s="6"/>
      <c r="E2" s="6"/>
      <c r="F2" s="6"/>
      <c r="G2" s="6"/>
    </row>
    <row r="3" ht="13.5" thickBot="1">
      <c r="C3" s="11" t="s">
        <v>356</v>
      </c>
    </row>
    <row r="4" spans="1:10" s="212" customFormat="1" ht="19.5" customHeight="1">
      <c r="A4" s="414" t="s">
        <v>300</v>
      </c>
      <c r="B4" s="415" t="s">
        <v>293</v>
      </c>
      <c r="C4" s="416" t="s">
        <v>64</v>
      </c>
      <c r="D4" s="219"/>
      <c r="E4" s="219"/>
      <c r="F4" s="219"/>
      <c r="G4" s="219"/>
      <c r="H4" s="219"/>
      <c r="I4" s="220"/>
      <c r="J4" s="220"/>
    </row>
    <row r="5" spans="1:10" s="215" customFormat="1" ht="19.5" customHeight="1">
      <c r="A5" s="417" t="s">
        <v>302</v>
      </c>
      <c r="B5" s="418" t="s">
        <v>326</v>
      </c>
      <c r="C5" s="425">
        <f>SUM(C6-C8)</f>
        <v>50000</v>
      </c>
      <c r="D5" s="221"/>
      <c r="E5" s="221"/>
      <c r="F5" s="221"/>
      <c r="G5" s="221"/>
      <c r="H5" s="221"/>
      <c r="I5" s="222"/>
      <c r="J5" s="222"/>
    </row>
    <row r="6" spans="1:10" s="215" customFormat="1" ht="16.5" customHeight="1">
      <c r="A6" s="247" t="s">
        <v>303</v>
      </c>
      <c r="B6" s="419" t="s">
        <v>330</v>
      </c>
      <c r="C6" s="426">
        <v>50000</v>
      </c>
      <c r="D6" s="221"/>
      <c r="E6" s="221"/>
      <c r="F6" s="221"/>
      <c r="G6" s="221"/>
      <c r="H6" s="221"/>
      <c r="I6" s="222"/>
      <c r="J6" s="222"/>
    </row>
    <row r="7" spans="1:10" s="215" customFormat="1" ht="16.5" customHeight="1">
      <c r="A7" s="247" t="s">
        <v>304</v>
      </c>
      <c r="B7" s="419" t="s">
        <v>329</v>
      </c>
      <c r="C7" s="426">
        <v>0</v>
      </c>
      <c r="D7" s="221"/>
      <c r="E7" s="221"/>
      <c r="F7" s="221"/>
      <c r="G7" s="221"/>
      <c r="H7" s="221"/>
      <c r="I7" s="222"/>
      <c r="J7" s="222"/>
    </row>
    <row r="8" spans="1:10" s="215" customFormat="1" ht="16.5" customHeight="1">
      <c r="A8" s="247" t="s">
        <v>305</v>
      </c>
      <c r="B8" s="419" t="s">
        <v>328</v>
      </c>
      <c r="C8" s="426">
        <v>0</v>
      </c>
      <c r="D8" s="221"/>
      <c r="E8" s="221"/>
      <c r="F8" s="221"/>
      <c r="G8" s="221"/>
      <c r="H8" s="221"/>
      <c r="I8" s="222"/>
      <c r="J8" s="222"/>
    </row>
    <row r="9" spans="1:10" s="215" customFormat="1" ht="16.5" customHeight="1">
      <c r="A9" s="247" t="s">
        <v>294</v>
      </c>
      <c r="B9" s="419" t="s">
        <v>683</v>
      </c>
      <c r="C9" s="426">
        <v>0</v>
      </c>
      <c r="D9" s="221"/>
      <c r="E9" s="221"/>
      <c r="F9" s="221"/>
      <c r="G9" s="221"/>
      <c r="H9" s="221"/>
      <c r="I9" s="222"/>
      <c r="J9" s="222"/>
    </row>
    <row r="10" spans="1:10" s="215" customFormat="1" ht="19.5" customHeight="1">
      <c r="A10" s="417" t="s">
        <v>306</v>
      </c>
      <c r="B10" s="418" t="s">
        <v>301</v>
      </c>
      <c r="C10" s="425">
        <f>SUM(C11:C12)</f>
        <v>150000</v>
      </c>
      <c r="D10" s="221"/>
      <c r="E10" s="221"/>
      <c r="F10" s="221"/>
      <c r="G10" s="221"/>
      <c r="H10" s="221"/>
      <c r="I10" s="222"/>
      <c r="J10" s="222"/>
    </row>
    <row r="11" spans="1:10" s="215" customFormat="1" ht="17.25" customHeight="1">
      <c r="A11" s="247" t="s">
        <v>303</v>
      </c>
      <c r="B11" s="420" t="s">
        <v>358</v>
      </c>
      <c r="C11" s="427">
        <v>150000</v>
      </c>
      <c r="D11" s="221"/>
      <c r="E11" s="221"/>
      <c r="F11" s="221"/>
      <c r="G11" s="221"/>
      <c r="H11" s="221"/>
      <c r="I11" s="222"/>
      <c r="J11" s="222"/>
    </row>
    <row r="12" spans="1:10" s="215" customFormat="1" ht="0.75" customHeight="1" hidden="1">
      <c r="A12" s="247"/>
      <c r="B12" s="420"/>
      <c r="C12" s="427"/>
      <c r="D12" s="221"/>
      <c r="E12" s="221"/>
      <c r="F12" s="221"/>
      <c r="G12" s="221"/>
      <c r="H12" s="221"/>
      <c r="I12" s="222"/>
      <c r="J12" s="222"/>
    </row>
    <row r="13" spans="1:10" s="215" customFormat="1" ht="19.5" customHeight="1">
      <c r="A13" s="417" t="s">
        <v>365</v>
      </c>
      <c r="B13" s="421" t="s">
        <v>366</v>
      </c>
      <c r="C13" s="425">
        <f>C5+C10</f>
        <v>200000</v>
      </c>
      <c r="D13" s="221"/>
      <c r="E13" s="221"/>
      <c r="F13" s="221"/>
      <c r="G13" s="221"/>
      <c r="H13" s="221"/>
      <c r="I13" s="222"/>
      <c r="J13" s="222"/>
    </row>
    <row r="14" spans="1:10" s="215" customFormat="1" ht="19.5" customHeight="1">
      <c r="A14" s="417" t="s">
        <v>307</v>
      </c>
      <c r="B14" s="418" t="s">
        <v>299</v>
      </c>
      <c r="C14" s="425">
        <f>C15+C25</f>
        <v>200000</v>
      </c>
      <c r="D14" s="221"/>
      <c r="E14" s="221"/>
      <c r="F14" s="221"/>
      <c r="G14" s="221"/>
      <c r="H14" s="221"/>
      <c r="I14" s="222"/>
      <c r="J14" s="222"/>
    </row>
    <row r="15" spans="1:10" s="215" customFormat="1" ht="17.25" customHeight="1">
      <c r="A15" s="247" t="s">
        <v>303</v>
      </c>
      <c r="B15" s="418" t="s">
        <v>578</v>
      </c>
      <c r="C15" s="425">
        <f>SUM(C16:C24)</f>
        <v>143000</v>
      </c>
      <c r="D15" s="221"/>
      <c r="E15" s="221"/>
      <c r="F15" s="221"/>
      <c r="G15" s="221"/>
      <c r="H15" s="221"/>
      <c r="I15" s="222"/>
      <c r="J15" s="222"/>
    </row>
    <row r="16" spans="1:10" s="215" customFormat="1" ht="28.5" customHeight="1">
      <c r="A16" s="247"/>
      <c r="B16" s="422" t="s">
        <v>367</v>
      </c>
      <c r="C16" s="426">
        <v>30000</v>
      </c>
      <c r="D16" s="221"/>
      <c r="E16" s="221"/>
      <c r="F16" s="221"/>
      <c r="G16" s="221"/>
      <c r="H16" s="221"/>
      <c r="I16" s="222"/>
      <c r="J16" s="222"/>
    </row>
    <row r="17" spans="1:10" s="215" customFormat="1" ht="44.25" customHeight="1">
      <c r="A17" s="247"/>
      <c r="B17" s="422" t="s">
        <v>370</v>
      </c>
      <c r="C17" s="427">
        <v>10000</v>
      </c>
      <c r="D17" s="221"/>
      <c r="E17" s="221"/>
      <c r="F17" s="221"/>
      <c r="G17" s="221"/>
      <c r="H17" s="221"/>
      <c r="I17" s="222"/>
      <c r="J17" s="222"/>
    </row>
    <row r="18" spans="1:10" s="215" customFormat="1" ht="15.75" customHeight="1">
      <c r="A18" s="247"/>
      <c r="B18" s="420" t="s">
        <v>746</v>
      </c>
      <c r="C18" s="427">
        <v>2000</v>
      </c>
      <c r="D18" s="221"/>
      <c r="E18" s="221"/>
      <c r="F18" s="221"/>
      <c r="G18" s="221"/>
      <c r="H18" s="221"/>
      <c r="I18" s="222"/>
      <c r="J18" s="222"/>
    </row>
    <row r="19" spans="1:10" s="215" customFormat="1" ht="15.75" customHeight="1">
      <c r="A19" s="247"/>
      <c r="B19" s="420" t="s">
        <v>371</v>
      </c>
      <c r="C19" s="427">
        <v>18000</v>
      </c>
      <c r="D19" s="221"/>
      <c r="E19" s="221"/>
      <c r="F19" s="221"/>
      <c r="G19" s="221"/>
      <c r="H19" s="221"/>
      <c r="I19" s="222"/>
      <c r="J19" s="222"/>
    </row>
    <row r="20" spans="1:10" s="215" customFormat="1" ht="15">
      <c r="A20" s="247"/>
      <c r="B20" s="420" t="s">
        <v>292</v>
      </c>
      <c r="C20" s="427">
        <v>70000</v>
      </c>
      <c r="D20" s="221"/>
      <c r="E20" s="221"/>
      <c r="F20" s="221"/>
      <c r="G20" s="221"/>
      <c r="H20" s="221"/>
      <c r="I20" s="222"/>
      <c r="J20" s="222"/>
    </row>
    <row r="21" spans="1:10" s="215" customFormat="1" ht="18.75" customHeight="1">
      <c r="A21" s="247"/>
      <c r="B21" s="420" t="s">
        <v>747</v>
      </c>
      <c r="C21" s="427">
        <v>2000</v>
      </c>
      <c r="D21" s="221"/>
      <c r="E21" s="221"/>
      <c r="F21" s="221"/>
      <c r="G21" s="221"/>
      <c r="H21" s="221"/>
      <c r="I21" s="222"/>
      <c r="J21" s="222"/>
    </row>
    <row r="22" spans="1:10" s="215" customFormat="1" ht="29.25" customHeight="1">
      <c r="A22" s="247"/>
      <c r="B22" s="422" t="s">
        <v>748</v>
      </c>
      <c r="C22" s="427">
        <v>6000</v>
      </c>
      <c r="D22" s="221"/>
      <c r="E22" s="221"/>
      <c r="F22" s="221"/>
      <c r="G22" s="221"/>
      <c r="H22" s="221"/>
      <c r="I22" s="222"/>
      <c r="J22" s="222"/>
    </row>
    <row r="23" spans="1:10" s="215" customFormat="1" ht="31.5" customHeight="1">
      <c r="A23" s="247"/>
      <c r="B23" s="422" t="s">
        <v>749</v>
      </c>
      <c r="C23" s="427">
        <v>1000</v>
      </c>
      <c r="D23" s="221"/>
      <c r="E23" s="221"/>
      <c r="F23" s="221"/>
      <c r="G23" s="221"/>
      <c r="H23" s="221"/>
      <c r="I23" s="222"/>
      <c r="J23" s="222"/>
    </row>
    <row r="24" spans="1:10" s="215" customFormat="1" ht="31.5" customHeight="1">
      <c r="A24" s="247"/>
      <c r="B24" s="422" t="s">
        <v>750</v>
      </c>
      <c r="C24" s="427">
        <v>4000</v>
      </c>
      <c r="D24" s="221"/>
      <c r="E24" s="221"/>
      <c r="F24" s="221"/>
      <c r="G24" s="221"/>
      <c r="H24" s="221"/>
      <c r="I24" s="222"/>
      <c r="J24" s="222"/>
    </row>
    <row r="25" spans="1:10" s="215" customFormat="1" ht="19.5" customHeight="1">
      <c r="A25" s="247" t="s">
        <v>304</v>
      </c>
      <c r="B25" s="418" t="s">
        <v>579</v>
      </c>
      <c r="C25" s="425">
        <f>SUM(C26:C28)</f>
        <v>57000</v>
      </c>
      <c r="D25" s="221"/>
      <c r="E25" s="221"/>
      <c r="F25" s="221"/>
      <c r="G25" s="221"/>
      <c r="H25" s="221"/>
      <c r="I25" s="222"/>
      <c r="J25" s="222"/>
    </row>
    <row r="26" spans="1:10" s="215" customFormat="1" ht="15" customHeight="1" hidden="1">
      <c r="A26" s="247"/>
      <c r="B26" s="422" t="s">
        <v>368</v>
      </c>
      <c r="C26" s="426">
        <v>0</v>
      </c>
      <c r="D26" s="221"/>
      <c r="E26" s="221"/>
      <c r="F26" s="221"/>
      <c r="G26" s="221"/>
      <c r="H26" s="221"/>
      <c r="I26" s="222"/>
      <c r="J26" s="222"/>
    </row>
    <row r="27" spans="1:10" s="215" customFormat="1" ht="42.75">
      <c r="A27" s="247"/>
      <c r="B27" s="422" t="s">
        <v>369</v>
      </c>
      <c r="C27" s="426">
        <v>27000</v>
      </c>
      <c r="D27" s="221"/>
      <c r="E27" s="221"/>
      <c r="F27" s="221"/>
      <c r="G27" s="221"/>
      <c r="H27" s="221"/>
      <c r="I27" s="222"/>
      <c r="J27" s="222"/>
    </row>
    <row r="28" spans="1:10" ht="57">
      <c r="A28" s="247"/>
      <c r="B28" s="422" t="s">
        <v>372</v>
      </c>
      <c r="C28" s="426">
        <v>30000</v>
      </c>
      <c r="D28" s="7"/>
      <c r="E28" s="7"/>
      <c r="F28" s="7"/>
      <c r="G28" s="7"/>
      <c r="H28" s="7"/>
      <c r="I28" s="8"/>
      <c r="J28" s="8"/>
    </row>
    <row r="29" spans="1:10" ht="15">
      <c r="A29" s="417" t="s">
        <v>325</v>
      </c>
      <c r="B29" s="418" t="s">
        <v>327</v>
      </c>
      <c r="C29" s="425">
        <f>C5+C10-C14</f>
        <v>0</v>
      </c>
      <c r="D29" s="7"/>
      <c r="E29" s="7"/>
      <c r="F29" s="7"/>
      <c r="G29" s="7"/>
      <c r="H29" s="7"/>
      <c r="I29" s="8"/>
      <c r="J29" s="8"/>
    </row>
    <row r="30" spans="1:10" ht="15">
      <c r="A30" s="247" t="s">
        <v>303</v>
      </c>
      <c r="B30" s="419" t="s">
        <v>330</v>
      </c>
      <c r="C30" s="427">
        <v>0</v>
      </c>
      <c r="D30" s="7"/>
      <c r="E30" s="7"/>
      <c r="F30" s="7"/>
      <c r="G30" s="7"/>
      <c r="H30" s="7"/>
      <c r="I30" s="8"/>
      <c r="J30" s="8"/>
    </row>
    <row r="31" spans="1:10" ht="15">
      <c r="A31" s="247" t="s">
        <v>304</v>
      </c>
      <c r="B31" s="419" t="s">
        <v>329</v>
      </c>
      <c r="C31" s="427">
        <v>0</v>
      </c>
      <c r="D31" s="7"/>
      <c r="E31" s="7"/>
      <c r="F31" s="7"/>
      <c r="G31" s="7"/>
      <c r="H31" s="7"/>
      <c r="I31" s="8"/>
      <c r="J31" s="8"/>
    </row>
    <row r="32" spans="1:10" ht="15">
      <c r="A32" s="247" t="s">
        <v>305</v>
      </c>
      <c r="B32" s="419" t="s">
        <v>328</v>
      </c>
      <c r="C32" s="427">
        <v>0</v>
      </c>
      <c r="D32" s="7"/>
      <c r="E32" s="7"/>
      <c r="F32" s="7"/>
      <c r="G32" s="7"/>
      <c r="H32" s="7"/>
      <c r="I32" s="8"/>
      <c r="J32" s="8"/>
    </row>
    <row r="33" spans="1:10" ht="15.75" thickBot="1">
      <c r="A33" s="423" t="s">
        <v>294</v>
      </c>
      <c r="B33" s="424" t="s">
        <v>683</v>
      </c>
      <c r="C33" s="428">
        <v>0</v>
      </c>
      <c r="D33" s="7"/>
      <c r="E33" s="7"/>
      <c r="F33" s="7"/>
      <c r="G33" s="7"/>
      <c r="H33" s="7"/>
      <c r="I33" s="8"/>
      <c r="J33" s="8"/>
    </row>
    <row r="34" spans="1:10" ht="15">
      <c r="A34" s="7"/>
      <c r="B34" s="7"/>
      <c r="C34" s="7"/>
      <c r="D34" s="8"/>
      <c r="E34" s="8"/>
      <c r="F34" s="8"/>
      <c r="G34" s="8"/>
      <c r="H34" s="8"/>
      <c r="I34" s="8"/>
      <c r="J34" s="8"/>
    </row>
    <row r="35" spans="1:10" ht="15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15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0" ht="15">
      <c r="A37" s="8"/>
      <c r="B37" s="8"/>
      <c r="C37" s="8"/>
      <c r="D37" s="8"/>
      <c r="E37" s="8"/>
      <c r="F37" s="8"/>
      <c r="G37" s="8"/>
      <c r="H37" s="8"/>
      <c r="I37" s="8"/>
      <c r="J37" s="8"/>
    </row>
  </sheetData>
  <mergeCells count="2">
    <mergeCell ref="A1:C1"/>
    <mergeCell ref="A2:C2"/>
  </mergeCells>
  <printOptions horizontalCentered="1" verticalCentered="1"/>
  <pageMargins left="0.5905511811023623" right="0.5905511811023623" top="0.25" bottom="0.5905511811023623" header="0.25" footer="0.5118110236220472"/>
  <pageSetup horizontalDpi="600" verticalDpi="600" orientation="portrait" paperSize="9" r:id="rId1"/>
  <headerFooter alignWithMargins="0">
    <oddHeader>&amp;RZałącznik Nr 12
do Uchwały Rady Powiatu nr  XXIII/ 159 /08
z dnia  30 grudnia 2008 roku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4"/>
  <dimension ref="A1:J50"/>
  <sheetViews>
    <sheetView workbookViewId="0" topLeftCell="A1">
      <selection activeCell="C2" sqref="C2"/>
    </sheetView>
  </sheetViews>
  <sheetFormatPr defaultColWidth="9.00390625" defaultRowHeight="12.75"/>
  <cols>
    <col min="1" max="1" width="5.25390625" style="1" customWidth="1"/>
    <col min="2" max="2" width="60.625" style="1" customWidth="1"/>
    <col min="3" max="3" width="17.75390625" style="1" customWidth="1"/>
    <col min="4" max="16384" width="9.125" style="1" customWidth="1"/>
  </cols>
  <sheetData>
    <row r="1" ht="12.75">
      <c r="C1" s="61" t="s">
        <v>608</v>
      </c>
    </row>
    <row r="2" ht="14.25">
      <c r="C2" s="60" t="s">
        <v>761</v>
      </c>
    </row>
    <row r="3" ht="14.25">
      <c r="C3" s="60" t="s">
        <v>24</v>
      </c>
    </row>
    <row r="4" ht="7.5" customHeight="1"/>
    <row r="5" spans="1:10" ht="15" customHeight="1">
      <c r="A5" s="997" t="s">
        <v>324</v>
      </c>
      <c r="B5" s="997"/>
      <c r="C5" s="997"/>
      <c r="D5" s="6"/>
      <c r="E5" s="6"/>
      <c r="F5" s="6"/>
      <c r="G5" s="6"/>
      <c r="H5" s="6"/>
      <c r="I5" s="6"/>
      <c r="J5" s="6"/>
    </row>
    <row r="6" spans="1:7" ht="16.5" customHeight="1">
      <c r="A6" s="997" t="s">
        <v>289</v>
      </c>
      <c r="B6" s="997"/>
      <c r="C6" s="997"/>
      <c r="D6" s="6"/>
      <c r="E6" s="6"/>
      <c r="F6" s="6"/>
      <c r="G6" s="6"/>
    </row>
    <row r="7" ht="6.75" customHeight="1"/>
    <row r="8" ht="13.5" thickBot="1">
      <c r="C8" s="11" t="s">
        <v>356</v>
      </c>
    </row>
    <row r="9" spans="1:10" s="212" customFormat="1" ht="19.5" customHeight="1" thickBot="1">
      <c r="A9" s="393" t="s">
        <v>300</v>
      </c>
      <c r="B9" s="393" t="s">
        <v>293</v>
      </c>
      <c r="C9" s="393" t="s">
        <v>64</v>
      </c>
      <c r="D9" s="219"/>
      <c r="E9" s="219"/>
      <c r="F9" s="219"/>
      <c r="G9" s="219"/>
      <c r="H9" s="219"/>
      <c r="I9" s="220"/>
      <c r="J9" s="220"/>
    </row>
    <row r="10" spans="1:10" s="215" customFormat="1" ht="19.5" customHeight="1" thickBot="1">
      <c r="A10" s="394" t="s">
        <v>302</v>
      </c>
      <c r="B10" s="395" t="s">
        <v>326</v>
      </c>
      <c r="C10" s="396">
        <f>SUM(C11:C12,-C13)</f>
        <v>450000</v>
      </c>
      <c r="D10" s="221"/>
      <c r="E10" s="221"/>
      <c r="F10" s="221"/>
      <c r="G10" s="221"/>
      <c r="H10" s="221"/>
      <c r="I10" s="222"/>
      <c r="J10" s="222"/>
    </row>
    <row r="11" spans="1:10" s="215" customFormat="1" ht="15" customHeight="1">
      <c r="A11" s="399" t="s">
        <v>303</v>
      </c>
      <c r="B11" s="400" t="s">
        <v>330</v>
      </c>
      <c r="C11" s="397">
        <v>440000</v>
      </c>
      <c r="D11" s="221"/>
      <c r="E11" s="221"/>
      <c r="F11" s="221"/>
      <c r="G11" s="221"/>
      <c r="H11" s="221"/>
      <c r="I11" s="222"/>
      <c r="J11" s="222"/>
    </row>
    <row r="12" spans="1:10" s="215" customFormat="1" ht="15" customHeight="1">
      <c r="A12" s="401" t="s">
        <v>304</v>
      </c>
      <c r="B12" s="402" t="s">
        <v>329</v>
      </c>
      <c r="C12" s="398">
        <v>20000</v>
      </c>
      <c r="D12" s="221"/>
      <c r="E12" s="221"/>
      <c r="F12" s="221"/>
      <c r="G12" s="221"/>
      <c r="H12" s="221"/>
      <c r="I12" s="222"/>
      <c r="J12" s="222"/>
    </row>
    <row r="13" spans="1:10" s="215" customFormat="1" ht="15" customHeight="1">
      <c r="A13" s="401" t="s">
        <v>305</v>
      </c>
      <c r="B13" s="402" t="s">
        <v>328</v>
      </c>
      <c r="C13" s="398">
        <v>10000</v>
      </c>
      <c r="D13" s="221"/>
      <c r="E13" s="221"/>
      <c r="F13" s="221"/>
      <c r="G13" s="221"/>
      <c r="H13" s="221"/>
      <c r="I13" s="222"/>
      <c r="J13" s="222"/>
    </row>
    <row r="14" spans="1:10" s="215" customFormat="1" ht="15" customHeight="1" thickBot="1">
      <c r="A14" s="401" t="s">
        <v>294</v>
      </c>
      <c r="B14" s="402" t="s">
        <v>683</v>
      </c>
      <c r="C14" s="397">
        <v>0</v>
      </c>
      <c r="D14" s="221"/>
      <c r="E14" s="221"/>
      <c r="F14" s="221"/>
      <c r="G14" s="221"/>
      <c r="H14" s="221"/>
      <c r="I14" s="222"/>
      <c r="J14" s="222"/>
    </row>
    <row r="15" spans="1:10" s="215" customFormat="1" ht="19.5" customHeight="1" thickBot="1">
      <c r="A15" s="404" t="s">
        <v>306</v>
      </c>
      <c r="B15" s="395" t="s">
        <v>301</v>
      </c>
      <c r="C15" s="396">
        <f>SUM(C16:C18)</f>
        <v>420000</v>
      </c>
      <c r="D15" s="221"/>
      <c r="E15" s="221"/>
      <c r="F15" s="221"/>
      <c r="G15" s="221"/>
      <c r="H15" s="221"/>
      <c r="I15" s="222"/>
      <c r="J15" s="222"/>
    </row>
    <row r="16" spans="1:10" s="215" customFormat="1" ht="19.5" customHeight="1">
      <c r="A16" s="412" t="s">
        <v>303</v>
      </c>
      <c r="B16" s="429" t="s">
        <v>290</v>
      </c>
      <c r="C16" s="398">
        <v>405000</v>
      </c>
      <c r="D16" s="221"/>
      <c r="E16" s="221"/>
      <c r="F16" s="221"/>
      <c r="G16" s="221"/>
      <c r="H16" s="221"/>
      <c r="I16" s="222"/>
      <c r="J16" s="222"/>
    </row>
    <row r="17" spans="1:10" s="215" customFormat="1" ht="15.75" customHeight="1" thickBot="1">
      <c r="A17" s="413" t="s">
        <v>304</v>
      </c>
      <c r="B17" s="429" t="s">
        <v>612</v>
      </c>
      <c r="C17" s="398">
        <v>15000</v>
      </c>
      <c r="D17" s="221"/>
      <c r="E17" s="221"/>
      <c r="F17" s="221"/>
      <c r="G17" s="221"/>
      <c r="H17" s="221"/>
      <c r="I17" s="222"/>
      <c r="J17" s="222"/>
    </row>
    <row r="18" spans="1:10" s="215" customFormat="1" ht="0.75" customHeight="1" hidden="1" thickBot="1">
      <c r="A18" s="223"/>
      <c r="B18" s="224"/>
      <c r="C18" s="225"/>
      <c r="D18" s="221"/>
      <c r="E18" s="221"/>
      <c r="F18" s="221"/>
      <c r="G18" s="221"/>
      <c r="H18" s="221"/>
      <c r="I18" s="222"/>
      <c r="J18" s="222"/>
    </row>
    <row r="19" spans="1:10" s="215" customFormat="1" ht="19.5" customHeight="1" thickBot="1">
      <c r="A19" s="394" t="s">
        <v>365</v>
      </c>
      <c r="B19" s="403" t="s">
        <v>366</v>
      </c>
      <c r="C19" s="396">
        <f>C10+C15</f>
        <v>870000</v>
      </c>
      <c r="D19" s="221"/>
      <c r="E19" s="221"/>
      <c r="F19" s="221"/>
      <c r="G19" s="221"/>
      <c r="H19" s="221"/>
      <c r="I19" s="222"/>
      <c r="J19" s="222"/>
    </row>
    <row r="20" spans="1:10" s="215" customFormat="1" ht="19.5" customHeight="1" thickBot="1">
      <c r="A20" s="404" t="s">
        <v>307</v>
      </c>
      <c r="B20" s="395" t="s">
        <v>299</v>
      </c>
      <c r="C20" s="396">
        <f>C21+C31+C33</f>
        <v>806000</v>
      </c>
      <c r="D20" s="221"/>
      <c r="E20" s="221"/>
      <c r="F20" s="221"/>
      <c r="G20" s="221"/>
      <c r="H20" s="221"/>
      <c r="I20" s="222"/>
      <c r="J20" s="222"/>
    </row>
    <row r="21" spans="1:10" s="215" customFormat="1" ht="19.5" customHeight="1">
      <c r="A21" s="405" t="s">
        <v>303</v>
      </c>
      <c r="B21" s="406" t="s">
        <v>578</v>
      </c>
      <c r="C21" s="430">
        <f>SUM(C22:C30)</f>
        <v>672000</v>
      </c>
      <c r="D21" s="221"/>
      <c r="E21" s="221"/>
      <c r="F21" s="221"/>
      <c r="G21" s="221"/>
      <c r="H21" s="221"/>
      <c r="I21" s="222"/>
      <c r="J21" s="222"/>
    </row>
    <row r="22" spans="1:10" s="215" customFormat="1" ht="17.25" customHeight="1">
      <c r="A22" s="407"/>
      <c r="B22" s="408" t="s">
        <v>371</v>
      </c>
      <c r="C22" s="431">
        <v>40000</v>
      </c>
      <c r="D22" s="221"/>
      <c r="E22" s="221"/>
      <c r="F22" s="221"/>
      <c r="G22" s="221"/>
      <c r="H22" s="221"/>
      <c r="I22" s="222"/>
      <c r="J22" s="222"/>
    </row>
    <row r="23" spans="1:10" s="215" customFormat="1" ht="17.25" customHeight="1">
      <c r="A23" s="407"/>
      <c r="B23" s="408" t="s">
        <v>614</v>
      </c>
      <c r="C23" s="431">
        <v>25000</v>
      </c>
      <c r="D23" s="221"/>
      <c r="E23" s="221"/>
      <c r="F23" s="221"/>
      <c r="G23" s="221"/>
      <c r="H23" s="221"/>
      <c r="I23" s="222"/>
      <c r="J23" s="222"/>
    </row>
    <row r="24" spans="1:10" s="215" customFormat="1" ht="17.25" customHeight="1">
      <c r="A24" s="407"/>
      <c r="B24" s="408" t="s">
        <v>291</v>
      </c>
      <c r="C24" s="431">
        <v>40000</v>
      </c>
      <c r="D24" s="221"/>
      <c r="E24" s="221"/>
      <c r="F24" s="221"/>
      <c r="G24" s="221"/>
      <c r="H24" s="221"/>
      <c r="I24" s="222"/>
      <c r="J24" s="222"/>
    </row>
    <row r="25" spans="1:10" s="215" customFormat="1" ht="17.25" customHeight="1">
      <c r="A25" s="407"/>
      <c r="B25" s="408" t="s">
        <v>292</v>
      </c>
      <c r="C25" s="431">
        <v>500000</v>
      </c>
      <c r="D25" s="221"/>
      <c r="E25" s="221"/>
      <c r="F25" s="221"/>
      <c r="G25" s="221"/>
      <c r="H25" s="221"/>
      <c r="I25" s="222"/>
      <c r="J25" s="222"/>
    </row>
    <row r="26" spans="1:10" s="215" customFormat="1" ht="30">
      <c r="A26" s="407"/>
      <c r="B26" s="580" t="s">
        <v>65</v>
      </c>
      <c r="C26" s="431">
        <v>2000</v>
      </c>
      <c r="D26" s="221"/>
      <c r="E26" s="221"/>
      <c r="F26" s="221"/>
      <c r="G26" s="221"/>
      <c r="H26" s="221"/>
      <c r="I26" s="222"/>
      <c r="J26" s="222"/>
    </row>
    <row r="27" spans="1:10" s="215" customFormat="1" ht="16.5" customHeight="1">
      <c r="A27" s="407"/>
      <c r="B27" s="408" t="s">
        <v>66</v>
      </c>
      <c r="C27" s="431">
        <v>14000</v>
      </c>
      <c r="D27" s="221"/>
      <c r="E27" s="221"/>
      <c r="F27" s="221"/>
      <c r="G27" s="221"/>
      <c r="H27" s="221"/>
      <c r="I27" s="222"/>
      <c r="J27" s="222"/>
    </row>
    <row r="28" spans="1:10" s="215" customFormat="1" ht="30">
      <c r="A28" s="407"/>
      <c r="B28" s="580" t="s">
        <v>748</v>
      </c>
      <c r="C28" s="431">
        <v>6000</v>
      </c>
      <c r="D28" s="221"/>
      <c r="E28" s="221"/>
      <c r="F28" s="221"/>
      <c r="G28" s="221"/>
      <c r="H28" s="221"/>
      <c r="I28" s="222"/>
      <c r="J28" s="222"/>
    </row>
    <row r="29" spans="1:10" s="215" customFormat="1" ht="30">
      <c r="A29" s="407"/>
      <c r="B29" s="580" t="s">
        <v>749</v>
      </c>
      <c r="C29" s="431">
        <v>10000</v>
      </c>
      <c r="D29" s="221"/>
      <c r="E29" s="221"/>
      <c r="F29" s="221"/>
      <c r="G29" s="221"/>
      <c r="H29" s="221"/>
      <c r="I29" s="222"/>
      <c r="J29" s="222"/>
    </row>
    <row r="30" spans="1:10" s="215" customFormat="1" ht="30">
      <c r="A30" s="407"/>
      <c r="B30" s="580" t="s">
        <v>750</v>
      </c>
      <c r="C30" s="431">
        <v>35000</v>
      </c>
      <c r="D30" s="221"/>
      <c r="E30" s="221"/>
      <c r="F30" s="221"/>
      <c r="G30" s="221"/>
      <c r="H30" s="221"/>
      <c r="I30" s="222"/>
      <c r="J30" s="222"/>
    </row>
    <row r="31" spans="1:10" s="215" customFormat="1" ht="17.25" customHeight="1">
      <c r="A31" s="409" t="s">
        <v>304</v>
      </c>
      <c r="B31" s="410" t="s">
        <v>579</v>
      </c>
      <c r="C31" s="432">
        <f>SUM(C32:C32)</f>
        <v>50000</v>
      </c>
      <c r="D31" s="221"/>
      <c r="E31" s="221"/>
      <c r="F31" s="221"/>
      <c r="G31" s="221"/>
      <c r="H31" s="221"/>
      <c r="I31" s="222"/>
      <c r="J31" s="222"/>
    </row>
    <row r="32" spans="1:10" s="215" customFormat="1" ht="15.75" customHeight="1" thickBot="1">
      <c r="A32" s="407"/>
      <c r="B32" s="433" t="s">
        <v>368</v>
      </c>
      <c r="C32" s="434">
        <v>50000</v>
      </c>
      <c r="D32" s="221"/>
      <c r="E32" s="221"/>
      <c r="F32" s="221"/>
      <c r="G32" s="221"/>
      <c r="H32" s="221"/>
      <c r="I32" s="222"/>
      <c r="J32" s="222"/>
    </row>
    <row r="33" spans="1:10" s="215" customFormat="1" ht="16.5" thickBot="1">
      <c r="A33" s="435" t="s">
        <v>305</v>
      </c>
      <c r="B33" s="436" t="s">
        <v>709</v>
      </c>
      <c r="C33" s="437">
        <f>SUM(C34:C35)</f>
        <v>84000</v>
      </c>
      <c r="D33" s="221"/>
      <c r="E33" s="221"/>
      <c r="F33" s="221"/>
      <c r="G33" s="221"/>
      <c r="H33" s="221"/>
      <c r="I33" s="222"/>
      <c r="J33" s="222"/>
    </row>
    <row r="34" spans="1:10" s="215" customFormat="1" ht="30">
      <c r="A34" s="438" t="s">
        <v>710</v>
      </c>
      <c r="B34" s="439" t="s">
        <v>711</v>
      </c>
      <c r="C34" s="440">
        <v>42000</v>
      </c>
      <c r="D34" s="221"/>
      <c r="E34" s="221"/>
      <c r="F34" s="221"/>
      <c r="G34" s="221"/>
      <c r="H34" s="221"/>
      <c r="I34" s="222"/>
      <c r="J34" s="222"/>
    </row>
    <row r="35" spans="1:10" s="215" customFormat="1" ht="30.75" thickBot="1">
      <c r="A35" s="441" t="s">
        <v>712</v>
      </c>
      <c r="B35" s="411" t="s">
        <v>713</v>
      </c>
      <c r="C35" s="442">
        <v>42000</v>
      </c>
      <c r="D35" s="221"/>
      <c r="E35" s="221"/>
      <c r="F35" s="221"/>
      <c r="G35" s="221"/>
      <c r="H35" s="221"/>
      <c r="I35" s="222"/>
      <c r="J35" s="222"/>
    </row>
    <row r="36" spans="1:10" s="215" customFormat="1" ht="19.5" customHeight="1" thickBot="1">
      <c r="A36" s="443" t="s">
        <v>325</v>
      </c>
      <c r="B36" s="444" t="s">
        <v>327</v>
      </c>
      <c r="C36" s="445">
        <f>SUM(C10+C15-C20)</f>
        <v>64000</v>
      </c>
      <c r="D36" s="221"/>
      <c r="E36" s="221"/>
      <c r="F36" s="221"/>
      <c r="G36" s="221"/>
      <c r="H36" s="221"/>
      <c r="I36" s="222"/>
      <c r="J36" s="222"/>
    </row>
    <row r="37" spans="1:10" s="215" customFormat="1" ht="17.25" customHeight="1">
      <c r="A37" s="399" t="s">
        <v>303</v>
      </c>
      <c r="B37" s="400" t="s">
        <v>330</v>
      </c>
      <c r="C37" s="397">
        <v>59000</v>
      </c>
      <c r="D37" s="221"/>
      <c r="E37" s="221"/>
      <c r="F37" s="221"/>
      <c r="G37" s="221"/>
      <c r="H37" s="221"/>
      <c r="I37" s="222"/>
      <c r="J37" s="222"/>
    </row>
    <row r="38" spans="1:10" s="215" customFormat="1" ht="17.25" customHeight="1">
      <c r="A38" s="401" t="s">
        <v>304</v>
      </c>
      <c r="B38" s="402" t="s">
        <v>329</v>
      </c>
      <c r="C38" s="398">
        <v>20000</v>
      </c>
      <c r="D38" s="221"/>
      <c r="E38" s="221"/>
      <c r="F38" s="221"/>
      <c r="G38" s="221"/>
      <c r="H38" s="221"/>
      <c r="I38" s="222"/>
      <c r="J38" s="222"/>
    </row>
    <row r="39" spans="1:10" s="215" customFormat="1" ht="17.25" customHeight="1" thickBot="1">
      <c r="A39" s="446" t="s">
        <v>305</v>
      </c>
      <c r="B39" s="447" t="s">
        <v>328</v>
      </c>
      <c r="C39" s="448">
        <v>15000</v>
      </c>
      <c r="D39" s="221"/>
      <c r="E39" s="221"/>
      <c r="F39" s="221"/>
      <c r="G39" s="221"/>
      <c r="H39" s="221"/>
      <c r="I39" s="222"/>
      <c r="J39" s="222"/>
    </row>
    <row r="40" spans="1:10" ht="15">
      <c r="A40" s="7"/>
      <c r="B40" s="7"/>
      <c r="C40" s="7"/>
      <c r="D40" s="7"/>
      <c r="E40" s="7"/>
      <c r="F40" s="7"/>
      <c r="G40" s="7"/>
      <c r="H40" s="7"/>
      <c r="I40" s="8"/>
      <c r="J40" s="8"/>
    </row>
    <row r="41" spans="1:10" ht="15">
      <c r="A41" s="7"/>
      <c r="B41" s="7"/>
      <c r="C41" s="93"/>
      <c r="D41" s="7"/>
      <c r="E41" s="7"/>
      <c r="F41" s="7"/>
      <c r="G41" s="7"/>
      <c r="H41" s="7"/>
      <c r="I41" s="8"/>
      <c r="J41" s="8"/>
    </row>
    <row r="42" spans="1:10" ht="15">
      <c r="A42" s="7"/>
      <c r="B42" s="7"/>
      <c r="C42" s="7"/>
      <c r="D42" s="7"/>
      <c r="E42" s="7"/>
      <c r="F42" s="7"/>
      <c r="G42" s="7"/>
      <c r="H42" s="7"/>
      <c r="I42" s="8"/>
      <c r="J42" s="8"/>
    </row>
    <row r="43" spans="1:10" ht="15">
      <c r="A43" s="7"/>
      <c r="B43" s="7"/>
      <c r="C43" s="7"/>
      <c r="D43" s="7"/>
      <c r="E43" s="7"/>
      <c r="F43" s="7"/>
      <c r="G43" s="7"/>
      <c r="H43" s="7"/>
      <c r="I43" s="8"/>
      <c r="J43" s="8"/>
    </row>
    <row r="44" spans="1:10" ht="15">
      <c r="A44" s="7"/>
      <c r="B44" s="7"/>
      <c r="C44" s="7"/>
      <c r="D44" s="7"/>
      <c r="E44" s="7"/>
      <c r="F44" s="7"/>
      <c r="G44" s="7"/>
      <c r="H44" s="7"/>
      <c r="I44" s="8"/>
      <c r="J44" s="8"/>
    </row>
    <row r="45" spans="1:10" ht="15">
      <c r="A45" s="7"/>
      <c r="B45" s="7"/>
      <c r="C45" s="7"/>
      <c r="D45" s="7"/>
      <c r="E45" s="7"/>
      <c r="F45" s="7"/>
      <c r="G45" s="7"/>
      <c r="H45" s="7"/>
      <c r="I45" s="8"/>
      <c r="J45" s="8"/>
    </row>
    <row r="46" spans="1:10" ht="15">
      <c r="A46" s="7"/>
      <c r="B46" s="7"/>
      <c r="C46" s="7"/>
      <c r="D46" s="7"/>
      <c r="E46" s="7"/>
      <c r="F46" s="7"/>
      <c r="G46" s="7"/>
      <c r="H46" s="7"/>
      <c r="I46" s="8"/>
      <c r="J46" s="8"/>
    </row>
    <row r="47" spans="1:10" ht="15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0" ht="15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ht="15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 ht="15">
      <c r="A50" s="8"/>
      <c r="B50" s="8"/>
      <c r="C50" s="8"/>
      <c r="D50" s="8"/>
      <c r="E50" s="8"/>
      <c r="F50" s="8"/>
      <c r="G50" s="8"/>
      <c r="H50" s="8"/>
      <c r="I50" s="8"/>
      <c r="J50" s="8"/>
    </row>
  </sheetData>
  <mergeCells count="2">
    <mergeCell ref="A5:C5"/>
    <mergeCell ref="A6:C6"/>
  </mergeCells>
  <printOptions/>
  <pageMargins left="1.02" right="0.75" top="0.37" bottom="0.53" header="0.32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5"/>
  <dimension ref="A1:M25"/>
  <sheetViews>
    <sheetView workbookViewId="0" topLeftCell="D1">
      <selection activeCell="M2" sqref="M2"/>
    </sheetView>
  </sheetViews>
  <sheetFormatPr defaultColWidth="9.00390625" defaultRowHeight="12.75"/>
  <cols>
    <col min="1" max="1" width="3.875" style="0" customWidth="1"/>
    <col min="2" max="2" width="26.00390625" style="0" customWidth="1"/>
    <col min="3" max="3" width="14.00390625" style="0" customWidth="1"/>
    <col min="4" max="4" width="11.25390625" style="0" customWidth="1"/>
    <col min="5" max="5" width="11.125" style="0" customWidth="1"/>
    <col min="6" max="7" width="10.875" style="0" customWidth="1"/>
    <col min="8" max="8" width="10.125" style="0" customWidth="1"/>
    <col min="9" max="9" width="10.00390625" style="0" customWidth="1"/>
    <col min="10" max="11" width="9.875" style="0" customWidth="1"/>
    <col min="12" max="12" width="10.00390625" style="0" customWidth="1"/>
    <col min="13" max="13" width="9.875" style="0" customWidth="1"/>
  </cols>
  <sheetData>
    <row r="1" spans="2:13" s="75" customFormat="1" ht="15.75">
      <c r="B1" s="76"/>
      <c r="C1" s="77"/>
      <c r="D1" s="78"/>
      <c r="E1" s="87"/>
      <c r="F1" s="87"/>
      <c r="G1" s="61" t="s">
        <v>714</v>
      </c>
      <c r="I1" s="78"/>
      <c r="J1" s="87"/>
      <c r="K1" s="87"/>
      <c r="L1" s="87"/>
      <c r="M1" s="61" t="s">
        <v>714</v>
      </c>
    </row>
    <row r="2" spans="2:13" s="75" customFormat="1" ht="15">
      <c r="B2" s="79"/>
      <c r="C2" s="80"/>
      <c r="D2" s="81"/>
      <c r="E2" s="88"/>
      <c r="F2" s="88"/>
      <c r="G2" s="60" t="s">
        <v>761</v>
      </c>
      <c r="I2" s="81"/>
      <c r="J2" s="66"/>
      <c r="K2" s="66"/>
      <c r="L2" s="66"/>
      <c r="M2" s="60" t="s">
        <v>761</v>
      </c>
    </row>
    <row r="3" spans="2:13" s="75" customFormat="1" ht="15">
      <c r="B3" s="79"/>
      <c r="C3" s="82"/>
      <c r="D3" s="81"/>
      <c r="E3" s="88"/>
      <c r="F3" s="88"/>
      <c r="G3" s="60" t="s">
        <v>24</v>
      </c>
      <c r="I3" s="81"/>
      <c r="J3" s="66"/>
      <c r="K3" s="66"/>
      <c r="L3" s="66"/>
      <c r="M3" s="60" t="s">
        <v>24</v>
      </c>
    </row>
    <row r="4" s="83" customFormat="1" ht="12.75">
      <c r="D4" s="82"/>
    </row>
    <row r="5" ht="12.75">
      <c r="D5" s="84"/>
    </row>
    <row r="6" ht="12.75">
      <c r="D6" s="84"/>
    </row>
    <row r="8" spans="2:6" ht="18">
      <c r="B8" s="2"/>
      <c r="C8" s="2"/>
      <c r="D8" s="2"/>
      <c r="E8" s="2"/>
      <c r="F8" s="2"/>
    </row>
    <row r="9" spans="1:3" ht="18">
      <c r="A9" s="20"/>
      <c r="B9" s="20"/>
      <c r="C9" s="20"/>
    </row>
    <row r="10" spans="4:12" s="1" customFormat="1" ht="15.75">
      <c r="D10" s="69"/>
      <c r="E10" s="69"/>
      <c r="F10" s="74"/>
      <c r="G10" s="1" t="s">
        <v>359</v>
      </c>
      <c r="L10" s="1" t="s">
        <v>359</v>
      </c>
    </row>
    <row r="11" spans="1:13" s="226" customFormat="1" ht="35.25" customHeight="1">
      <c r="A11" s="958" t="s">
        <v>362</v>
      </c>
      <c r="B11" s="958" t="s">
        <v>594</v>
      </c>
      <c r="C11" s="958" t="s">
        <v>172</v>
      </c>
      <c r="D11" s="998" t="s">
        <v>595</v>
      </c>
      <c r="E11" s="999"/>
      <c r="F11" s="999"/>
      <c r="G11" s="1000"/>
      <c r="H11" s="998" t="s">
        <v>595</v>
      </c>
      <c r="I11" s="999"/>
      <c r="J11" s="999"/>
      <c r="K11" s="999"/>
      <c r="L11" s="999"/>
      <c r="M11" s="1000"/>
    </row>
    <row r="12" spans="1:13" s="226" customFormat="1" ht="35.25" customHeight="1">
      <c r="A12" s="958"/>
      <c r="B12" s="958"/>
      <c r="C12" s="958"/>
      <c r="D12" s="524">
        <v>2009</v>
      </c>
      <c r="E12" s="525">
        <v>2010</v>
      </c>
      <c r="F12" s="524">
        <v>2011</v>
      </c>
      <c r="G12" s="524">
        <v>2012</v>
      </c>
      <c r="H12" s="524">
        <v>2013</v>
      </c>
      <c r="I12" s="524">
        <v>2014</v>
      </c>
      <c r="J12" s="524">
        <v>2015</v>
      </c>
      <c r="K12" s="524">
        <v>2016</v>
      </c>
      <c r="L12" s="524">
        <v>2017</v>
      </c>
      <c r="M12" s="703">
        <v>2017</v>
      </c>
    </row>
    <row r="13" spans="1:13" s="226" customFormat="1" ht="11.25" customHeight="1">
      <c r="A13" s="243">
        <v>1</v>
      </c>
      <c r="B13" s="243">
        <v>2</v>
      </c>
      <c r="C13" s="243">
        <v>3</v>
      </c>
      <c r="D13" s="243">
        <v>4</v>
      </c>
      <c r="E13" s="243">
        <v>5</v>
      </c>
      <c r="F13" s="243">
        <v>6</v>
      </c>
      <c r="G13" s="526">
        <v>7</v>
      </c>
      <c r="H13" s="243">
        <v>3</v>
      </c>
      <c r="I13" s="243">
        <v>4</v>
      </c>
      <c r="J13" s="243">
        <v>5</v>
      </c>
      <c r="K13" s="243">
        <v>6</v>
      </c>
      <c r="L13" s="243">
        <v>7</v>
      </c>
      <c r="M13" s="704">
        <v>8</v>
      </c>
    </row>
    <row r="14" spans="1:13" s="186" customFormat="1" ht="28.5" customHeight="1">
      <c r="A14" s="527" t="s">
        <v>303</v>
      </c>
      <c r="B14" s="47" t="s">
        <v>309</v>
      </c>
      <c r="C14" s="532">
        <f>SUM('TAK zał14a-syt finans'!C46)</f>
        <v>0</v>
      </c>
      <c r="D14" s="532">
        <f>SUM('TAK zał14a-syt finans'!D46)</f>
        <v>0</v>
      </c>
      <c r="E14" s="532">
        <f>SUM('TAK zał14a-syt finans'!E46)</f>
        <v>0</v>
      </c>
      <c r="F14" s="532">
        <f>SUM('TAK zał14a-syt finans'!F46)</f>
        <v>0</v>
      </c>
      <c r="G14" s="532">
        <f>SUM('TAK zał14a-syt finans'!G46)</f>
        <v>0</v>
      </c>
      <c r="H14" s="532">
        <f>SUM('TAK zał14a-syt finans'!H46)</f>
        <v>0</v>
      </c>
      <c r="I14" s="532">
        <f>SUM('TAK zał14a-syt finans'!I46)</f>
        <v>0</v>
      </c>
      <c r="J14" s="532">
        <f>SUM('TAK zał14a-syt finans'!J46)</f>
        <v>0</v>
      </c>
      <c r="K14" s="532">
        <f>SUM('TAK zał14a-syt finans'!K46)</f>
        <v>0</v>
      </c>
      <c r="L14" s="532">
        <f>SUM('TAK zał14a-syt finans'!L46)</f>
        <v>0</v>
      </c>
      <c r="M14" s="705">
        <f>SUM('TAK zał14a-syt finans'!M46)</f>
        <v>0</v>
      </c>
    </row>
    <row r="15" spans="1:13" s="186" customFormat="1" ht="24.75" customHeight="1">
      <c r="A15" s="527" t="s">
        <v>304</v>
      </c>
      <c r="B15" s="47" t="s">
        <v>311</v>
      </c>
      <c r="C15" s="532">
        <f>SUM('TAK zał14a-syt finans'!C45)</f>
        <v>23570759</v>
      </c>
      <c r="D15" s="532">
        <f>SUM('TAK zał14a-syt finans'!D45)</f>
        <v>27460222</v>
      </c>
      <c r="E15" s="532">
        <f>SUM('TAK zał14a-syt finans'!E45)</f>
        <v>29563481</v>
      </c>
      <c r="F15" s="532">
        <f>SUM('TAK zał14a-syt finans'!F45)</f>
        <v>28568887</v>
      </c>
      <c r="G15" s="532">
        <f>SUM('TAK zał14a-syt finans'!G45)</f>
        <v>24796288</v>
      </c>
      <c r="H15" s="532">
        <f>SUM('TAK zał14a-syt finans'!H45)</f>
        <v>18545833</v>
      </c>
      <c r="I15" s="532">
        <f>SUM('TAK zał14a-syt finans'!I45)</f>
        <v>13320833</v>
      </c>
      <c r="J15" s="532">
        <f>SUM('TAK zał14a-syt finans'!J45)</f>
        <v>8168233</v>
      </c>
      <c r="K15" s="532">
        <f>SUM('TAK zał14a-syt finans'!K45)</f>
        <v>3393233</v>
      </c>
      <c r="L15" s="532">
        <f>SUM('TAK zał14a-syt finans'!L45)</f>
        <v>0</v>
      </c>
      <c r="M15" s="705">
        <f>SUM('TAK zał14a-syt finans'!M45)</f>
        <v>0</v>
      </c>
    </row>
    <row r="16" spans="1:13" s="186" customFormat="1" ht="24.75" customHeight="1">
      <c r="A16" s="527" t="s">
        <v>305</v>
      </c>
      <c r="B16" s="47" t="s">
        <v>312</v>
      </c>
      <c r="C16" s="533" t="s">
        <v>377</v>
      </c>
      <c r="D16" s="533" t="s">
        <v>377</v>
      </c>
      <c r="E16" s="533" t="s">
        <v>377</v>
      </c>
      <c r="F16" s="533" t="s">
        <v>377</v>
      </c>
      <c r="G16" s="537" t="s">
        <v>377</v>
      </c>
      <c r="H16" s="533" t="s">
        <v>377</v>
      </c>
      <c r="I16" s="533" t="s">
        <v>377</v>
      </c>
      <c r="J16" s="533" t="s">
        <v>377</v>
      </c>
      <c r="K16" s="533" t="s">
        <v>377</v>
      </c>
      <c r="L16" s="533" t="s">
        <v>377</v>
      </c>
      <c r="M16" s="706" t="s">
        <v>377</v>
      </c>
    </row>
    <row r="17" spans="1:13" s="186" customFormat="1" ht="24.75" customHeight="1">
      <c r="A17" s="528" t="s">
        <v>294</v>
      </c>
      <c r="B17" s="529" t="s">
        <v>313</v>
      </c>
      <c r="C17" s="533" t="s">
        <v>377</v>
      </c>
      <c r="D17" s="533" t="s">
        <v>377</v>
      </c>
      <c r="E17" s="533" t="s">
        <v>377</v>
      </c>
      <c r="F17" s="533" t="s">
        <v>377</v>
      </c>
      <c r="G17" s="537" t="s">
        <v>377</v>
      </c>
      <c r="H17" s="533" t="s">
        <v>377</v>
      </c>
      <c r="I17" s="533" t="s">
        <v>377</v>
      </c>
      <c r="J17" s="533" t="s">
        <v>377</v>
      </c>
      <c r="K17" s="533" t="s">
        <v>377</v>
      </c>
      <c r="L17" s="533" t="s">
        <v>377</v>
      </c>
      <c r="M17" s="706" t="s">
        <v>377</v>
      </c>
    </row>
    <row r="18" spans="1:13" s="186" customFormat="1" ht="42.75" customHeight="1">
      <c r="A18" s="528" t="s">
        <v>310</v>
      </c>
      <c r="B18" s="47" t="s">
        <v>596</v>
      </c>
      <c r="C18" s="533" t="s">
        <v>377</v>
      </c>
      <c r="D18" s="533" t="s">
        <v>377</v>
      </c>
      <c r="E18" s="533" t="s">
        <v>377</v>
      </c>
      <c r="F18" s="533" t="s">
        <v>377</v>
      </c>
      <c r="G18" s="537" t="s">
        <v>377</v>
      </c>
      <c r="H18" s="533" t="s">
        <v>377</v>
      </c>
      <c r="I18" s="533" t="s">
        <v>377</v>
      </c>
      <c r="J18" s="533" t="s">
        <v>377</v>
      </c>
      <c r="K18" s="533" t="s">
        <v>377</v>
      </c>
      <c r="L18" s="539" t="s">
        <v>377</v>
      </c>
      <c r="M18" s="707" t="s">
        <v>377</v>
      </c>
    </row>
    <row r="19" spans="1:13" s="186" customFormat="1" ht="24.75" customHeight="1">
      <c r="A19" s="530"/>
      <c r="B19" s="47" t="s">
        <v>597</v>
      </c>
      <c r="C19" s="533" t="s">
        <v>377</v>
      </c>
      <c r="D19" s="533" t="s">
        <v>377</v>
      </c>
      <c r="E19" s="533" t="s">
        <v>377</v>
      </c>
      <c r="F19" s="533" t="s">
        <v>377</v>
      </c>
      <c r="G19" s="533" t="s">
        <v>377</v>
      </c>
      <c r="H19" s="533" t="s">
        <v>377</v>
      </c>
      <c r="I19" s="533" t="s">
        <v>377</v>
      </c>
      <c r="J19" s="533" t="s">
        <v>377</v>
      </c>
      <c r="K19" s="533" t="s">
        <v>377</v>
      </c>
      <c r="L19" s="533" t="s">
        <v>377</v>
      </c>
      <c r="M19" s="706" t="s">
        <v>377</v>
      </c>
    </row>
    <row r="20" spans="1:13" s="186" customFormat="1" ht="24.75" customHeight="1">
      <c r="A20" s="530"/>
      <c r="B20" s="47" t="s">
        <v>598</v>
      </c>
      <c r="C20" s="533" t="s">
        <v>377</v>
      </c>
      <c r="D20" s="533" t="s">
        <v>377</v>
      </c>
      <c r="E20" s="533" t="s">
        <v>377</v>
      </c>
      <c r="F20" s="533" t="s">
        <v>377</v>
      </c>
      <c r="G20" s="533" t="s">
        <v>377</v>
      </c>
      <c r="H20" s="533" t="s">
        <v>377</v>
      </c>
      <c r="I20" s="533" t="s">
        <v>377</v>
      </c>
      <c r="J20" s="533" t="s">
        <v>377</v>
      </c>
      <c r="K20" s="533" t="s">
        <v>377</v>
      </c>
      <c r="L20" s="533" t="s">
        <v>377</v>
      </c>
      <c r="M20" s="706" t="s">
        <v>377</v>
      </c>
    </row>
    <row r="21" spans="1:13" s="186" customFormat="1" ht="24.75" customHeight="1">
      <c r="A21" s="530"/>
      <c r="B21" s="47" t="s">
        <v>599</v>
      </c>
      <c r="C21" s="533" t="s">
        <v>377</v>
      </c>
      <c r="D21" s="533" t="s">
        <v>377</v>
      </c>
      <c r="E21" s="533" t="s">
        <v>377</v>
      </c>
      <c r="F21" s="533" t="s">
        <v>377</v>
      </c>
      <c r="G21" s="533" t="s">
        <v>377</v>
      </c>
      <c r="H21" s="533" t="s">
        <v>377</v>
      </c>
      <c r="I21" s="533" t="s">
        <v>377</v>
      </c>
      <c r="J21" s="533" t="s">
        <v>377</v>
      </c>
      <c r="K21" s="533" t="s">
        <v>377</v>
      </c>
      <c r="L21" s="539" t="s">
        <v>377</v>
      </c>
      <c r="M21" s="707" t="s">
        <v>377</v>
      </c>
    </row>
    <row r="22" spans="1:13" s="186" customFormat="1" ht="24.75" customHeight="1">
      <c r="A22" s="531"/>
      <c r="B22" s="47" t="s">
        <v>600</v>
      </c>
      <c r="C22" s="533" t="s">
        <v>377</v>
      </c>
      <c r="D22" s="533" t="s">
        <v>377</v>
      </c>
      <c r="E22" s="533" t="s">
        <v>377</v>
      </c>
      <c r="F22" s="533" t="s">
        <v>377</v>
      </c>
      <c r="G22" s="537" t="s">
        <v>377</v>
      </c>
      <c r="H22" s="533" t="s">
        <v>377</v>
      </c>
      <c r="I22" s="533" t="s">
        <v>377</v>
      </c>
      <c r="J22" s="533" t="s">
        <v>377</v>
      </c>
      <c r="K22" s="533" t="s">
        <v>377</v>
      </c>
      <c r="L22" s="533" t="s">
        <v>377</v>
      </c>
      <c r="M22" s="706" t="s">
        <v>377</v>
      </c>
    </row>
    <row r="23" spans="1:13" s="227" customFormat="1" ht="30" customHeight="1">
      <c r="A23" s="531" t="s">
        <v>314</v>
      </c>
      <c r="B23" s="85" t="s">
        <v>601</v>
      </c>
      <c r="C23" s="534">
        <f>SUM(C14,C15)</f>
        <v>23570759</v>
      </c>
      <c r="D23" s="534">
        <f>SUM(D14,D15,D18)</f>
        <v>27460222</v>
      </c>
      <c r="E23" s="534">
        <f aca="true" t="shared" si="0" ref="E23:M23">SUM(E14,E15,E18)</f>
        <v>29563481</v>
      </c>
      <c r="F23" s="534">
        <f t="shared" si="0"/>
        <v>28568887</v>
      </c>
      <c r="G23" s="534">
        <f t="shared" si="0"/>
        <v>24796288</v>
      </c>
      <c r="H23" s="534">
        <f t="shared" si="0"/>
        <v>18545833</v>
      </c>
      <c r="I23" s="534">
        <f t="shared" si="0"/>
        <v>13320833</v>
      </c>
      <c r="J23" s="534">
        <f t="shared" si="0"/>
        <v>8168233</v>
      </c>
      <c r="K23" s="534">
        <f t="shared" si="0"/>
        <v>3393233</v>
      </c>
      <c r="L23" s="534">
        <f t="shared" si="0"/>
        <v>0</v>
      </c>
      <c r="M23" s="708">
        <f t="shared" si="0"/>
        <v>0</v>
      </c>
    </row>
    <row r="24" spans="1:13" s="227" customFormat="1" ht="27" customHeight="1">
      <c r="A24" s="531" t="s">
        <v>322</v>
      </c>
      <c r="B24" s="47" t="s">
        <v>323</v>
      </c>
      <c r="C24" s="535">
        <f>SUM('TAK zał14a-syt finans'!C11)</f>
        <v>63042125</v>
      </c>
      <c r="D24" s="535">
        <f>SUM('TAK zał14a-syt finans'!D11)</f>
        <v>79661634</v>
      </c>
      <c r="E24" s="535">
        <f>SUM('TAK zał14a-syt finans'!E11)</f>
        <v>83673510</v>
      </c>
      <c r="F24" s="535">
        <f>SUM('TAK zał14a-syt finans'!F11)</f>
        <v>81679543</v>
      </c>
      <c r="G24" s="535">
        <f>SUM('TAK zał14a-syt finans'!G11)</f>
        <v>74743751</v>
      </c>
      <c r="H24" s="535">
        <f>SUM('TAK zał14a-syt finans'!H11)</f>
        <v>76911319</v>
      </c>
      <c r="I24" s="535">
        <f>SUM('TAK zał14a-syt finans'!I11)</f>
        <v>79141747</v>
      </c>
      <c r="J24" s="535">
        <f>SUM('TAK zał14a-syt finans'!J11)</f>
        <v>81436857</v>
      </c>
      <c r="K24" s="535">
        <f>SUM('TAK zał14a-syt finans'!K11)</f>
        <v>83798524</v>
      </c>
      <c r="L24" s="535">
        <f>SUM('TAK zał14a-syt finans'!L11)</f>
        <v>86228681</v>
      </c>
      <c r="M24" s="709">
        <f>SUM('TAK zał14a-syt finans'!M11)</f>
        <v>88729311</v>
      </c>
    </row>
    <row r="25" spans="1:13" s="227" customFormat="1" ht="30" customHeight="1">
      <c r="A25" s="531" t="s">
        <v>331</v>
      </c>
      <c r="B25" s="47" t="s">
        <v>602</v>
      </c>
      <c r="C25" s="536">
        <f aca="true" t="shared" si="1" ref="C25:M25">C23/C24*100</f>
        <v>37.38890305490178</v>
      </c>
      <c r="D25" s="536">
        <f t="shared" si="1"/>
        <v>34.47107549915434</v>
      </c>
      <c r="E25" s="536">
        <f t="shared" si="1"/>
        <v>35.33194794863989</v>
      </c>
      <c r="F25" s="536">
        <f t="shared" si="1"/>
        <v>34.97679584225881</v>
      </c>
      <c r="G25" s="538">
        <f t="shared" si="1"/>
        <v>33.175065029851126</v>
      </c>
      <c r="H25" s="536">
        <f t="shared" si="1"/>
        <v>24.11326868545838</v>
      </c>
      <c r="I25" s="536">
        <f t="shared" si="1"/>
        <v>16.831613535142207</v>
      </c>
      <c r="J25" s="536">
        <f t="shared" si="1"/>
        <v>10.030142739914433</v>
      </c>
      <c r="K25" s="536">
        <f t="shared" si="1"/>
        <v>4.049275378645094</v>
      </c>
      <c r="L25" s="536">
        <f t="shared" si="1"/>
        <v>0</v>
      </c>
      <c r="M25" s="710">
        <f t="shared" si="1"/>
        <v>0</v>
      </c>
    </row>
    <row r="26" s="67" customFormat="1" ht="12.75"/>
    <row r="27" s="67" customFormat="1" ht="12.75"/>
    <row r="28" s="67" customFormat="1" ht="12.75"/>
    <row r="29" s="67" customFormat="1" ht="12.75"/>
    <row r="30" s="67" customFormat="1" ht="12.75"/>
    <row r="31" s="67" customFormat="1" ht="12.75"/>
  </sheetData>
  <mergeCells count="5">
    <mergeCell ref="H11:M11"/>
    <mergeCell ref="A11:A12"/>
    <mergeCell ref="B11:B12"/>
    <mergeCell ref="C11:C12"/>
    <mergeCell ref="D11:G11"/>
  </mergeCells>
  <printOptions/>
  <pageMargins left="0.79" right="0.22" top="1" bottom="1" header="2.17" footer="0.5"/>
  <pageSetup horizontalDpi="600" verticalDpi="600" orientation="portrait" paperSize="9" r:id="rId1"/>
  <headerFooter alignWithMargins="0">
    <oddHeader>&amp;C&amp;"Arial CE,Pogrubiony"&amp;14PROGNOZY KWOTY DŁUGU POWIATU IŁAWSKIEGO</oddHeader>
    <oddFooter>&amp;CStrona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6"/>
  <dimension ref="A1:Y76"/>
  <sheetViews>
    <sheetView tabSelected="1" workbookViewId="0" topLeftCell="F1">
      <selection activeCell="I6" sqref="I6"/>
    </sheetView>
  </sheetViews>
  <sheetFormatPr defaultColWidth="9.00390625" defaultRowHeight="12.75"/>
  <cols>
    <col min="1" max="1" width="4.375" style="59" customWidth="1"/>
    <col min="2" max="2" width="40.875" style="59" customWidth="1"/>
    <col min="3" max="3" width="13.25390625" style="59" customWidth="1"/>
    <col min="4" max="6" width="13.125" style="171" customWidth="1"/>
    <col min="7" max="7" width="15.125" style="171" customWidth="1"/>
    <col min="8" max="8" width="13.00390625" style="171" customWidth="1"/>
    <col min="9" max="9" width="14.625" style="171" customWidth="1"/>
    <col min="10" max="12" width="13.125" style="171" customWidth="1"/>
    <col min="13" max="13" width="14.625" style="171" customWidth="1"/>
    <col min="14" max="14" width="13.00390625" style="171" customWidth="1"/>
    <col min="15" max="16384" width="9.125" style="59" customWidth="1"/>
  </cols>
  <sheetData>
    <row r="1" spans="4:25" ht="14.25">
      <c r="D1" s="87"/>
      <c r="E1" s="87"/>
      <c r="F1" s="61" t="s">
        <v>719</v>
      </c>
      <c r="H1" s="87"/>
      <c r="I1" s="87"/>
      <c r="J1" s="61" t="s">
        <v>719</v>
      </c>
      <c r="K1" s="172"/>
      <c r="L1" s="172"/>
      <c r="M1" s="172"/>
      <c r="N1" s="61" t="s">
        <v>719</v>
      </c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</row>
    <row r="2" spans="4:25" ht="14.25">
      <c r="D2" s="88"/>
      <c r="E2" s="88"/>
      <c r="F2" s="60" t="s">
        <v>761</v>
      </c>
      <c r="H2" s="88"/>
      <c r="I2" s="88"/>
      <c r="J2" s="60" t="s">
        <v>761</v>
      </c>
      <c r="K2" s="173"/>
      <c r="L2" s="173"/>
      <c r="M2" s="173"/>
      <c r="N2" s="60" t="s">
        <v>761</v>
      </c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4:25" ht="14.25">
      <c r="D3" s="88"/>
      <c r="E3" s="88"/>
      <c r="F3" s="60" t="s">
        <v>24</v>
      </c>
      <c r="H3" s="88"/>
      <c r="I3" s="88"/>
      <c r="J3" s="60" t="s">
        <v>24</v>
      </c>
      <c r="K3" s="173"/>
      <c r="L3" s="173"/>
      <c r="M3" s="173"/>
      <c r="N3" s="60" t="s">
        <v>24</v>
      </c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4:12" ht="14.25">
      <c r="D4" s="81"/>
      <c r="E4" s="81"/>
      <c r="F4" s="81"/>
      <c r="H4" s="59"/>
      <c r="I4" s="59"/>
      <c r="J4" s="81"/>
      <c r="K4" s="174"/>
      <c r="L4" s="174"/>
    </row>
    <row r="5" spans="4:10" ht="12.75">
      <c r="D5" s="59"/>
      <c r="E5" s="32"/>
      <c r="F5" s="59"/>
      <c r="H5" s="59"/>
      <c r="I5" s="59"/>
      <c r="J5" s="59"/>
    </row>
    <row r="6" spans="6:14" ht="15" customHeight="1">
      <c r="F6" s="92" t="s">
        <v>269</v>
      </c>
      <c r="H6" s="59"/>
      <c r="I6" s="59"/>
      <c r="J6" s="92" t="s">
        <v>269</v>
      </c>
      <c r="N6" s="92" t="s">
        <v>269</v>
      </c>
    </row>
    <row r="7" spans="1:14" ht="12.75">
      <c r="A7" s="253" t="s">
        <v>362</v>
      </c>
      <c r="B7" s="253" t="s">
        <v>297</v>
      </c>
      <c r="C7" s="1007" t="s">
        <v>5</v>
      </c>
      <c r="D7" s="467" t="s">
        <v>270</v>
      </c>
      <c r="E7" s="468"/>
      <c r="F7" s="469"/>
      <c r="G7" s="1001" t="s">
        <v>271</v>
      </c>
      <c r="H7" s="1002"/>
      <c r="I7" s="1002"/>
      <c r="J7" s="1003"/>
      <c r="K7" s="1001" t="s">
        <v>271</v>
      </c>
      <c r="L7" s="1002"/>
      <c r="M7" s="1002"/>
      <c r="N7" s="1003"/>
    </row>
    <row r="8" spans="1:14" ht="12.75">
      <c r="A8" s="518"/>
      <c r="B8" s="518"/>
      <c r="C8" s="1008"/>
      <c r="D8" s="470">
        <v>2009</v>
      </c>
      <c r="E8" s="471">
        <v>2010</v>
      </c>
      <c r="F8" s="471">
        <v>2011</v>
      </c>
      <c r="G8" s="472">
        <v>2012</v>
      </c>
      <c r="H8" s="471">
        <v>2013</v>
      </c>
      <c r="I8" s="471">
        <v>2014</v>
      </c>
      <c r="J8" s="471">
        <v>2015</v>
      </c>
      <c r="K8" s="471">
        <v>2016</v>
      </c>
      <c r="L8" s="471">
        <v>2017</v>
      </c>
      <c r="M8" s="696">
        <v>2018</v>
      </c>
      <c r="N8" s="253"/>
    </row>
    <row r="9" spans="1:14" ht="12.75">
      <c r="A9" s="475"/>
      <c r="B9" s="475"/>
      <c r="C9" s="473">
        <v>2008</v>
      </c>
      <c r="D9" s="474"/>
      <c r="E9" s="475"/>
      <c r="F9" s="475"/>
      <c r="G9" s="476"/>
      <c r="H9" s="475"/>
      <c r="I9" s="475"/>
      <c r="J9" s="475"/>
      <c r="K9" s="475"/>
      <c r="L9" s="475"/>
      <c r="M9" s="697"/>
      <c r="N9" s="473"/>
    </row>
    <row r="10" spans="1:14" ht="12.75">
      <c r="A10" s="295">
        <v>1</v>
      </c>
      <c r="B10" s="295">
        <v>2</v>
      </c>
      <c r="C10" s="295">
        <v>3</v>
      </c>
      <c r="D10" s="295">
        <v>4</v>
      </c>
      <c r="E10" s="295">
        <v>5</v>
      </c>
      <c r="F10" s="295">
        <v>6</v>
      </c>
      <c r="G10" s="295">
        <v>3</v>
      </c>
      <c r="H10" s="295">
        <v>4</v>
      </c>
      <c r="I10" s="295">
        <v>5</v>
      </c>
      <c r="J10" s="295">
        <v>6</v>
      </c>
      <c r="K10" s="295">
        <v>3</v>
      </c>
      <c r="L10" s="295">
        <v>4</v>
      </c>
      <c r="M10" s="698">
        <v>5</v>
      </c>
      <c r="N10" s="295"/>
    </row>
    <row r="11" spans="1:14" s="481" customFormat="1" ht="16.5">
      <c r="A11" s="477" t="s">
        <v>302</v>
      </c>
      <c r="B11" s="478" t="s">
        <v>677</v>
      </c>
      <c r="C11" s="479">
        <f aca="true" t="shared" si="0" ref="C11:K11">SUM(C12,C16,C17,C18,C19)</f>
        <v>63042125</v>
      </c>
      <c r="D11" s="479">
        <f t="shared" si="0"/>
        <v>79661634</v>
      </c>
      <c r="E11" s="479">
        <f t="shared" si="0"/>
        <v>83673510</v>
      </c>
      <c r="F11" s="479">
        <f t="shared" si="0"/>
        <v>81679543</v>
      </c>
      <c r="G11" s="479">
        <f t="shared" si="0"/>
        <v>74743751</v>
      </c>
      <c r="H11" s="479">
        <f t="shared" si="0"/>
        <v>76911319</v>
      </c>
      <c r="I11" s="479">
        <f t="shared" si="0"/>
        <v>79141747</v>
      </c>
      <c r="J11" s="479">
        <f t="shared" si="0"/>
        <v>81436857</v>
      </c>
      <c r="K11" s="479">
        <f t="shared" si="0"/>
        <v>83798524</v>
      </c>
      <c r="L11" s="479">
        <f>SUM(L12,L16,L17,L18,L19)</f>
        <v>86228681</v>
      </c>
      <c r="M11" s="506">
        <f>SUM(M12,M16,M17,M18,M19)</f>
        <v>88729311</v>
      </c>
      <c r="N11" s="480">
        <f>SUM(N12,N16,N17,N18,N19)</f>
        <v>91391190.33</v>
      </c>
    </row>
    <row r="12" spans="1:14" s="41" customFormat="1" ht="15">
      <c r="A12" s="482" t="s">
        <v>679</v>
      </c>
      <c r="B12" s="483" t="s">
        <v>272</v>
      </c>
      <c r="C12" s="479">
        <f aca="true" t="shared" si="1" ref="C12:K12">SUM(C13:C15)</f>
        <v>15966527</v>
      </c>
      <c r="D12" s="479">
        <f t="shared" si="1"/>
        <v>16054351</v>
      </c>
      <c r="E12" s="479">
        <f t="shared" si="1"/>
        <v>16519927</v>
      </c>
      <c r="F12" s="479">
        <f t="shared" si="1"/>
        <v>16999005</v>
      </c>
      <c r="G12" s="479">
        <f t="shared" si="1"/>
        <v>17491977</v>
      </c>
      <c r="H12" s="479">
        <f t="shared" si="1"/>
        <v>17999244</v>
      </c>
      <c r="I12" s="479">
        <f t="shared" si="1"/>
        <v>18521222</v>
      </c>
      <c r="J12" s="479">
        <f t="shared" si="1"/>
        <v>19058337</v>
      </c>
      <c r="K12" s="479">
        <f t="shared" si="1"/>
        <v>19611028</v>
      </c>
      <c r="L12" s="479">
        <f>SUM(L13:L15)</f>
        <v>20179747</v>
      </c>
      <c r="M12" s="506">
        <f>SUM(M13:M15)</f>
        <v>20764959</v>
      </c>
      <c r="N12" s="480">
        <f>SUM(N13:N15)</f>
        <v>21387907.77</v>
      </c>
    </row>
    <row r="13" spans="1:14" s="41" customFormat="1" ht="25.5" customHeight="1">
      <c r="A13" s="90" t="s">
        <v>303</v>
      </c>
      <c r="B13" s="484" t="s">
        <v>273</v>
      </c>
      <c r="C13" s="485">
        <v>9518280</v>
      </c>
      <c r="D13" s="485">
        <v>10107688</v>
      </c>
      <c r="E13" s="485">
        <f aca="true" t="shared" si="2" ref="E13:E18">ROUND(D13*102.9%,0)</f>
        <v>10400811</v>
      </c>
      <c r="F13" s="485">
        <f aca="true" t="shared" si="3" ref="F13:M13">ROUND(E13*102.9%,0)</f>
        <v>10702435</v>
      </c>
      <c r="G13" s="485">
        <f t="shared" si="3"/>
        <v>11012806</v>
      </c>
      <c r="H13" s="485">
        <f t="shared" si="3"/>
        <v>11332177</v>
      </c>
      <c r="I13" s="485">
        <f t="shared" si="3"/>
        <v>11660810</v>
      </c>
      <c r="J13" s="485">
        <f t="shared" si="3"/>
        <v>11998973</v>
      </c>
      <c r="K13" s="485">
        <f t="shared" si="3"/>
        <v>12346943</v>
      </c>
      <c r="L13" s="485">
        <f t="shared" si="3"/>
        <v>12705004</v>
      </c>
      <c r="M13" s="505">
        <f t="shared" si="3"/>
        <v>13073449</v>
      </c>
      <c r="N13" s="486">
        <f aca="true" t="shared" si="4" ref="N13:N19">M13*103%</f>
        <v>13465652.47</v>
      </c>
    </row>
    <row r="14" spans="1:14" s="41" customFormat="1" ht="12.75" customHeight="1">
      <c r="A14" s="90" t="s">
        <v>304</v>
      </c>
      <c r="B14" s="484" t="s">
        <v>274</v>
      </c>
      <c r="C14" s="485">
        <v>289145</v>
      </c>
      <c r="D14" s="485">
        <v>361250</v>
      </c>
      <c r="E14" s="485">
        <f t="shared" si="2"/>
        <v>371726</v>
      </c>
      <c r="F14" s="485">
        <f aca="true" t="shared" si="5" ref="F14:M14">ROUND(E14*102.9%,0)</f>
        <v>382506</v>
      </c>
      <c r="G14" s="485">
        <f t="shared" si="5"/>
        <v>393599</v>
      </c>
      <c r="H14" s="485">
        <f t="shared" si="5"/>
        <v>405013</v>
      </c>
      <c r="I14" s="485">
        <f t="shared" si="5"/>
        <v>416758</v>
      </c>
      <c r="J14" s="485">
        <f t="shared" si="5"/>
        <v>428844</v>
      </c>
      <c r="K14" s="485">
        <f t="shared" si="5"/>
        <v>441280</v>
      </c>
      <c r="L14" s="485">
        <f t="shared" si="5"/>
        <v>454077</v>
      </c>
      <c r="M14" s="505">
        <f t="shared" si="5"/>
        <v>467245</v>
      </c>
      <c r="N14" s="486">
        <f t="shared" si="4"/>
        <v>481262.35000000003</v>
      </c>
    </row>
    <row r="15" spans="1:14" s="41" customFormat="1" ht="12.75" customHeight="1">
      <c r="A15" s="90" t="s">
        <v>305</v>
      </c>
      <c r="B15" s="484" t="s">
        <v>275</v>
      </c>
      <c r="C15" s="485">
        <v>6159102</v>
      </c>
      <c r="D15" s="485">
        <v>5585413</v>
      </c>
      <c r="E15" s="485">
        <f t="shared" si="2"/>
        <v>5747390</v>
      </c>
      <c r="F15" s="485">
        <f aca="true" t="shared" si="6" ref="F15:M15">ROUND(E15*102.9%,0)</f>
        <v>5914064</v>
      </c>
      <c r="G15" s="485">
        <f t="shared" si="6"/>
        <v>6085572</v>
      </c>
      <c r="H15" s="485">
        <f t="shared" si="6"/>
        <v>6262054</v>
      </c>
      <c r="I15" s="485">
        <f t="shared" si="6"/>
        <v>6443654</v>
      </c>
      <c r="J15" s="485">
        <f t="shared" si="6"/>
        <v>6630520</v>
      </c>
      <c r="K15" s="485">
        <f t="shared" si="6"/>
        <v>6822805</v>
      </c>
      <c r="L15" s="485">
        <f t="shared" si="6"/>
        <v>7020666</v>
      </c>
      <c r="M15" s="505">
        <f t="shared" si="6"/>
        <v>7224265</v>
      </c>
      <c r="N15" s="486">
        <f t="shared" si="4"/>
        <v>7440992.95</v>
      </c>
    </row>
    <row r="16" spans="1:14" s="41" customFormat="1" ht="15">
      <c r="A16" s="487" t="s">
        <v>242</v>
      </c>
      <c r="B16" s="488" t="s">
        <v>363</v>
      </c>
      <c r="C16" s="489">
        <v>37503844</v>
      </c>
      <c r="D16" s="490">
        <v>42207684</v>
      </c>
      <c r="E16" s="490">
        <f t="shared" si="2"/>
        <v>43431707</v>
      </c>
      <c r="F16" s="490">
        <f aca="true" t="shared" si="7" ref="F16:M16">ROUND(E16*102.9%,0)</f>
        <v>44691227</v>
      </c>
      <c r="G16" s="490">
        <f t="shared" si="7"/>
        <v>45987273</v>
      </c>
      <c r="H16" s="490">
        <f t="shared" si="7"/>
        <v>47320904</v>
      </c>
      <c r="I16" s="490">
        <f t="shared" si="7"/>
        <v>48693210</v>
      </c>
      <c r="J16" s="490">
        <f t="shared" si="7"/>
        <v>50105313</v>
      </c>
      <c r="K16" s="490">
        <f t="shared" si="7"/>
        <v>51558367</v>
      </c>
      <c r="L16" s="490">
        <f t="shared" si="7"/>
        <v>53053560</v>
      </c>
      <c r="M16" s="699">
        <f t="shared" si="7"/>
        <v>54592113</v>
      </c>
      <c r="N16" s="480">
        <f t="shared" si="4"/>
        <v>56229876.39</v>
      </c>
    </row>
    <row r="17" spans="1:14" s="494" customFormat="1" ht="30" customHeight="1">
      <c r="A17" s="491" t="s">
        <v>246</v>
      </c>
      <c r="B17" s="492" t="s">
        <v>276</v>
      </c>
      <c r="C17" s="367">
        <v>5635741</v>
      </c>
      <c r="D17" s="490">
        <v>5796979</v>
      </c>
      <c r="E17" s="490">
        <f t="shared" si="2"/>
        <v>5965091</v>
      </c>
      <c r="F17" s="490">
        <f aca="true" t="shared" si="8" ref="F17:M17">ROUND(E17*102.9%,0)</f>
        <v>6138079</v>
      </c>
      <c r="G17" s="490">
        <f t="shared" si="8"/>
        <v>6316083</v>
      </c>
      <c r="H17" s="490">
        <f t="shared" si="8"/>
        <v>6499249</v>
      </c>
      <c r="I17" s="490">
        <f t="shared" si="8"/>
        <v>6687727</v>
      </c>
      <c r="J17" s="490">
        <f t="shared" si="8"/>
        <v>6881671</v>
      </c>
      <c r="K17" s="490">
        <f t="shared" si="8"/>
        <v>7081239</v>
      </c>
      <c r="L17" s="490">
        <f t="shared" si="8"/>
        <v>7286595</v>
      </c>
      <c r="M17" s="699">
        <f t="shared" si="8"/>
        <v>7497906</v>
      </c>
      <c r="N17" s="493">
        <f t="shared" si="4"/>
        <v>7722843.180000001</v>
      </c>
    </row>
    <row r="18" spans="1:14" s="494" customFormat="1" ht="15">
      <c r="A18" s="491" t="s">
        <v>247</v>
      </c>
      <c r="B18" s="495" t="s">
        <v>364</v>
      </c>
      <c r="C18" s="490">
        <v>3201669</v>
      </c>
      <c r="D18" s="490">
        <v>3165000</v>
      </c>
      <c r="E18" s="490">
        <f t="shared" si="2"/>
        <v>3256785</v>
      </c>
      <c r="F18" s="490">
        <f aca="true" t="shared" si="9" ref="F18:M18">ROUND(E18*102.9%,0)</f>
        <v>3351232</v>
      </c>
      <c r="G18" s="490">
        <f t="shared" si="9"/>
        <v>3448418</v>
      </c>
      <c r="H18" s="490">
        <f t="shared" si="9"/>
        <v>3548422</v>
      </c>
      <c r="I18" s="490">
        <f t="shared" si="9"/>
        <v>3651326</v>
      </c>
      <c r="J18" s="490">
        <f t="shared" si="9"/>
        <v>3757214</v>
      </c>
      <c r="K18" s="490">
        <f t="shared" si="9"/>
        <v>3866173</v>
      </c>
      <c r="L18" s="490">
        <f t="shared" si="9"/>
        <v>3978292</v>
      </c>
      <c r="M18" s="699">
        <f t="shared" si="9"/>
        <v>4093662</v>
      </c>
      <c r="N18" s="493">
        <f t="shared" si="4"/>
        <v>4216471.86</v>
      </c>
    </row>
    <row r="19" spans="1:14" s="494" customFormat="1" ht="15">
      <c r="A19" s="491" t="s">
        <v>250</v>
      </c>
      <c r="B19" s="495" t="s">
        <v>277</v>
      </c>
      <c r="C19" s="490">
        <v>734344</v>
      </c>
      <c r="D19" s="490">
        <v>12437620</v>
      </c>
      <c r="E19" s="490">
        <v>14500000</v>
      </c>
      <c r="F19" s="490">
        <v>10500000</v>
      </c>
      <c r="G19" s="490">
        <v>1500000</v>
      </c>
      <c r="H19" s="490">
        <f aca="true" t="shared" si="10" ref="H19:M19">ROUND(G19*102.9%,0)</f>
        <v>1543500</v>
      </c>
      <c r="I19" s="490">
        <f t="shared" si="10"/>
        <v>1588262</v>
      </c>
      <c r="J19" s="490">
        <f t="shared" si="10"/>
        <v>1634322</v>
      </c>
      <c r="K19" s="490">
        <f t="shared" si="10"/>
        <v>1681717</v>
      </c>
      <c r="L19" s="490">
        <f t="shared" si="10"/>
        <v>1730487</v>
      </c>
      <c r="M19" s="699">
        <f t="shared" si="10"/>
        <v>1780671</v>
      </c>
      <c r="N19" s="480">
        <f t="shared" si="4"/>
        <v>1834091.1300000001</v>
      </c>
    </row>
    <row r="20" spans="1:14" s="481" customFormat="1" ht="16.5">
      <c r="A20" s="477" t="s">
        <v>306</v>
      </c>
      <c r="B20" s="478" t="s">
        <v>577</v>
      </c>
      <c r="C20" s="479">
        <f aca="true" t="shared" si="11" ref="C20:K20">C21+C25</f>
        <v>65597699</v>
      </c>
      <c r="D20" s="479">
        <f t="shared" si="11"/>
        <v>83551097</v>
      </c>
      <c r="E20" s="479">
        <f t="shared" si="11"/>
        <v>85776769</v>
      </c>
      <c r="F20" s="479">
        <f t="shared" si="11"/>
        <v>80684949</v>
      </c>
      <c r="G20" s="479">
        <f t="shared" si="11"/>
        <v>70971152</v>
      </c>
      <c r="H20" s="479">
        <f t="shared" si="11"/>
        <v>70660864</v>
      </c>
      <c r="I20" s="479">
        <f t="shared" si="11"/>
        <v>71357473</v>
      </c>
      <c r="J20" s="479">
        <f t="shared" si="11"/>
        <v>72061048</v>
      </c>
      <c r="K20" s="479">
        <f t="shared" si="11"/>
        <v>72771658</v>
      </c>
      <c r="L20" s="479">
        <f>L21+L25</f>
        <v>73489375</v>
      </c>
      <c r="M20" s="506">
        <f>M21+M25</f>
        <v>74214269</v>
      </c>
      <c r="N20" s="480">
        <f>SUM(N21,N25)</f>
        <v>63500000</v>
      </c>
    </row>
    <row r="21" spans="1:14" s="41" customFormat="1" ht="15">
      <c r="A21" s="482" t="s">
        <v>679</v>
      </c>
      <c r="B21" s="483" t="s">
        <v>238</v>
      </c>
      <c r="C21" s="479">
        <v>58519366</v>
      </c>
      <c r="D21" s="490">
        <v>66942721</v>
      </c>
      <c r="E21" s="695">
        <f>ROUND(D21*101%,0)</f>
        <v>67612148</v>
      </c>
      <c r="F21" s="695">
        <f aca="true" t="shared" si="12" ref="F21:M21">ROUND(E21*101%,0)</f>
        <v>68288269</v>
      </c>
      <c r="G21" s="695">
        <f t="shared" si="12"/>
        <v>68971152</v>
      </c>
      <c r="H21" s="695">
        <f t="shared" si="12"/>
        <v>69660864</v>
      </c>
      <c r="I21" s="695">
        <f t="shared" si="12"/>
        <v>70357473</v>
      </c>
      <c r="J21" s="695">
        <f t="shared" si="12"/>
        <v>71061048</v>
      </c>
      <c r="K21" s="695">
        <f t="shared" si="12"/>
        <v>71771658</v>
      </c>
      <c r="L21" s="695">
        <f t="shared" si="12"/>
        <v>72489375</v>
      </c>
      <c r="M21" s="506">
        <f t="shared" si="12"/>
        <v>73214269</v>
      </c>
      <c r="N21" s="480">
        <v>63000000</v>
      </c>
    </row>
    <row r="22" spans="1:14" s="41" customFormat="1" ht="12.75" customHeight="1" hidden="1">
      <c r="A22" s="496" t="s">
        <v>303</v>
      </c>
      <c r="B22" s="484" t="s">
        <v>278</v>
      </c>
      <c r="C22" s="485">
        <f>SUM(C23:C24)</f>
        <v>1326594</v>
      </c>
      <c r="D22" s="485">
        <f aca="true" t="shared" si="13" ref="D22:K22">SUM(D23:D24)</f>
        <v>1344287</v>
      </c>
      <c r="E22" s="485">
        <f t="shared" si="13"/>
        <v>1246085</v>
      </c>
      <c r="F22" s="485">
        <f t="shared" si="13"/>
        <v>1066506</v>
      </c>
      <c r="G22" s="485">
        <f t="shared" si="13"/>
        <v>938349</v>
      </c>
      <c r="H22" s="485">
        <f t="shared" si="13"/>
        <v>701792</v>
      </c>
      <c r="I22" s="485">
        <f t="shared" si="13"/>
        <v>543482</v>
      </c>
      <c r="J22" s="485">
        <f t="shared" si="13"/>
        <v>315700</v>
      </c>
      <c r="K22" s="485">
        <f t="shared" si="13"/>
        <v>161100</v>
      </c>
      <c r="L22" s="485">
        <f>SUM(L23:L24)</f>
        <v>161100</v>
      </c>
      <c r="M22" s="505">
        <f>SUM(M23:M24)</f>
        <v>161100</v>
      </c>
      <c r="N22" s="486">
        <f>SUM(N23:N24)</f>
        <v>0</v>
      </c>
    </row>
    <row r="23" spans="1:14" s="41" customFormat="1" ht="12.75" hidden="1">
      <c r="A23" s="497"/>
      <c r="B23" s="498" t="s">
        <v>279</v>
      </c>
      <c r="C23" s="485">
        <f>1326594-C24</f>
        <v>1177000</v>
      </c>
      <c r="D23" s="485">
        <f>1623000-524713</f>
        <v>1098287</v>
      </c>
      <c r="E23" s="485">
        <v>1082085</v>
      </c>
      <c r="F23" s="485">
        <v>1066506</v>
      </c>
      <c r="G23" s="485">
        <v>938349</v>
      </c>
      <c r="H23" s="485">
        <v>701792</v>
      </c>
      <c r="I23" s="485">
        <v>543482</v>
      </c>
      <c r="J23" s="485">
        <v>315700</v>
      </c>
      <c r="K23" s="485">
        <v>161100</v>
      </c>
      <c r="L23" s="485">
        <v>161100</v>
      </c>
      <c r="M23" s="505">
        <v>161100</v>
      </c>
      <c r="N23" s="486"/>
    </row>
    <row r="24" spans="1:14" s="41" customFormat="1" ht="12.75" hidden="1">
      <c r="A24" s="497"/>
      <c r="B24" s="498" t="s">
        <v>280</v>
      </c>
      <c r="C24" s="485">
        <v>149594</v>
      </c>
      <c r="D24" s="485">
        <v>246000</v>
      </c>
      <c r="E24" s="485">
        <v>164000</v>
      </c>
      <c r="F24" s="485">
        <v>0</v>
      </c>
      <c r="G24" s="485">
        <v>0</v>
      </c>
      <c r="H24" s="485">
        <v>0</v>
      </c>
      <c r="I24" s="485">
        <v>0</v>
      </c>
      <c r="J24" s="485">
        <v>0</v>
      </c>
      <c r="K24" s="485">
        <v>0</v>
      </c>
      <c r="L24" s="485">
        <v>0</v>
      </c>
      <c r="M24" s="505">
        <v>0</v>
      </c>
      <c r="N24" s="486">
        <v>0</v>
      </c>
    </row>
    <row r="25" spans="1:14" s="41" customFormat="1" ht="15">
      <c r="A25" s="482" t="s">
        <v>242</v>
      </c>
      <c r="B25" s="483" t="s">
        <v>281</v>
      </c>
      <c r="C25" s="479">
        <v>7078333</v>
      </c>
      <c r="D25" s="479">
        <v>16608376</v>
      </c>
      <c r="E25" s="479">
        <v>18164621</v>
      </c>
      <c r="F25" s="479">
        <v>12396680</v>
      </c>
      <c r="G25" s="479">
        <v>2000000</v>
      </c>
      <c r="H25" s="479">
        <v>1000000</v>
      </c>
      <c r="I25" s="479">
        <v>1000000</v>
      </c>
      <c r="J25" s="479">
        <v>1000000</v>
      </c>
      <c r="K25" s="479">
        <v>1000000</v>
      </c>
      <c r="L25" s="479">
        <v>1000000</v>
      </c>
      <c r="M25" s="506">
        <v>1000000</v>
      </c>
      <c r="N25" s="480">
        <v>500000</v>
      </c>
    </row>
    <row r="26" spans="1:14" s="481" customFormat="1" ht="16.5">
      <c r="A26" s="477" t="s">
        <v>307</v>
      </c>
      <c r="B26" s="478" t="s">
        <v>282</v>
      </c>
      <c r="C26" s="479">
        <f>C11-C20</f>
        <v>-2555574</v>
      </c>
      <c r="D26" s="479">
        <f aca="true" t="shared" si="14" ref="D26:K26">D11-D20</f>
        <v>-3889463</v>
      </c>
      <c r="E26" s="479">
        <f t="shared" si="14"/>
        <v>-2103259</v>
      </c>
      <c r="F26" s="479">
        <f t="shared" si="14"/>
        <v>994594</v>
      </c>
      <c r="G26" s="479">
        <f t="shared" si="14"/>
        <v>3772599</v>
      </c>
      <c r="H26" s="479">
        <f t="shared" si="14"/>
        <v>6250455</v>
      </c>
      <c r="I26" s="479">
        <f t="shared" si="14"/>
        <v>7784274</v>
      </c>
      <c r="J26" s="479">
        <f t="shared" si="14"/>
        <v>9375809</v>
      </c>
      <c r="K26" s="479">
        <f t="shared" si="14"/>
        <v>11026866</v>
      </c>
      <c r="L26" s="479">
        <f>L11-L20</f>
        <v>12739306</v>
      </c>
      <c r="M26" s="506">
        <f>M11-M20</f>
        <v>14515042</v>
      </c>
      <c r="N26" s="480">
        <f>N11-N20</f>
        <v>27891190.33</v>
      </c>
    </row>
    <row r="27" spans="1:14" s="500" customFormat="1" ht="38.25" customHeight="1">
      <c r="A27" s="477" t="s">
        <v>325</v>
      </c>
      <c r="B27" s="499" t="s">
        <v>283</v>
      </c>
      <c r="C27" s="479">
        <v>23429971</v>
      </c>
      <c r="D27" s="479">
        <f aca="true" t="shared" si="15" ref="D27:N27">SUM(C41)</f>
        <v>23570759</v>
      </c>
      <c r="E27" s="479">
        <f t="shared" si="15"/>
        <v>27460222</v>
      </c>
      <c r="F27" s="479">
        <f t="shared" si="15"/>
        <v>29563481</v>
      </c>
      <c r="G27" s="479">
        <f t="shared" si="15"/>
        <v>28568887</v>
      </c>
      <c r="H27" s="479">
        <f t="shared" si="15"/>
        <v>24796288</v>
      </c>
      <c r="I27" s="479">
        <f t="shared" si="15"/>
        <v>18545833</v>
      </c>
      <c r="J27" s="479">
        <f t="shared" si="15"/>
        <v>13320833</v>
      </c>
      <c r="K27" s="479">
        <f t="shared" si="15"/>
        <v>8168233</v>
      </c>
      <c r="L27" s="479">
        <f t="shared" si="15"/>
        <v>3393233</v>
      </c>
      <c r="M27" s="506">
        <f t="shared" si="15"/>
        <v>0</v>
      </c>
      <c r="N27" s="480">
        <f t="shared" si="15"/>
        <v>0</v>
      </c>
    </row>
    <row r="28" spans="1:14" s="502" customFormat="1" ht="30" customHeight="1">
      <c r="A28" s="482" t="s">
        <v>348</v>
      </c>
      <c r="B28" s="492" t="s">
        <v>0</v>
      </c>
      <c r="C28" s="501">
        <f>'TAK zał5-sfin'!E14</f>
        <v>3618388</v>
      </c>
      <c r="D28" s="501">
        <f>'TAK zał5-sfin'!F14</f>
        <v>8057323</v>
      </c>
      <c r="E28" s="501">
        <f>-E26+E32+E36+E39</f>
        <v>7771119</v>
      </c>
      <c r="F28" s="501">
        <f>-F26+F32+F36+F39</f>
        <v>4873266</v>
      </c>
      <c r="G28" s="501">
        <f>-G26+G32+G36+G39</f>
        <v>2033619</v>
      </c>
      <c r="H28" s="501">
        <f>-H26+H32+H36+H39</f>
        <v>328545</v>
      </c>
      <c r="I28" s="501">
        <v>0</v>
      </c>
      <c r="J28" s="501">
        <v>0</v>
      </c>
      <c r="K28" s="501">
        <v>0</v>
      </c>
      <c r="L28" s="501">
        <v>0</v>
      </c>
      <c r="M28" s="700">
        <v>0</v>
      </c>
      <c r="N28" s="480">
        <f>240162+N31+N39</f>
        <v>3551162</v>
      </c>
    </row>
    <row r="29" spans="1:14" s="502" customFormat="1" ht="15" customHeight="1" hidden="1">
      <c r="A29" s="482">
        <v>2</v>
      </c>
      <c r="B29" s="492" t="s">
        <v>284</v>
      </c>
      <c r="C29" s="503" t="s">
        <v>377</v>
      </c>
      <c r="D29" s="229" t="s">
        <v>377</v>
      </c>
      <c r="E29" s="229" t="s">
        <v>377</v>
      </c>
      <c r="F29" s="229" t="s">
        <v>377</v>
      </c>
      <c r="G29" s="229" t="s">
        <v>377</v>
      </c>
      <c r="H29" s="229" t="s">
        <v>377</v>
      </c>
      <c r="I29" s="229" t="s">
        <v>377</v>
      </c>
      <c r="J29" s="229" t="s">
        <v>377</v>
      </c>
      <c r="K29" s="229" t="s">
        <v>377</v>
      </c>
      <c r="L29" s="229" t="s">
        <v>377</v>
      </c>
      <c r="M29" s="701" t="s">
        <v>377</v>
      </c>
      <c r="N29" s="504" t="s">
        <v>377</v>
      </c>
    </row>
    <row r="30" spans="1:14" s="502" customFormat="1" ht="15" customHeight="1">
      <c r="A30" s="482" t="s">
        <v>349</v>
      </c>
      <c r="B30" s="495" t="s">
        <v>678</v>
      </c>
      <c r="C30" s="503">
        <f>SUM(C31,C35,C39,C40)</f>
        <v>5089284</v>
      </c>
      <c r="D30" s="503">
        <f aca="true" t="shared" si="16" ref="D30:L30">SUM(D31,D35,D39,D40)</f>
        <v>6167860</v>
      </c>
      <c r="E30" s="503">
        <f t="shared" si="16"/>
        <v>7872860</v>
      </c>
      <c r="F30" s="503">
        <f t="shared" si="16"/>
        <v>7817860</v>
      </c>
      <c r="G30" s="503">
        <f t="shared" si="16"/>
        <v>7286218</v>
      </c>
      <c r="H30" s="503">
        <f t="shared" si="16"/>
        <v>7839000</v>
      </c>
      <c r="I30" s="503">
        <f t="shared" si="16"/>
        <v>6265000</v>
      </c>
      <c r="J30" s="503">
        <f t="shared" si="16"/>
        <v>5922600</v>
      </c>
      <c r="K30" s="503">
        <f t="shared" si="16"/>
        <v>5314940</v>
      </c>
      <c r="L30" s="503">
        <f t="shared" si="16"/>
        <v>3618233</v>
      </c>
      <c r="M30" s="701">
        <f>SUM(M31,M35,M39,M40)</f>
        <v>0</v>
      </c>
      <c r="N30" s="504"/>
    </row>
    <row r="31" spans="1:14" s="502" customFormat="1" ht="30">
      <c r="A31" s="482" t="s">
        <v>679</v>
      </c>
      <c r="B31" s="492" t="s">
        <v>241</v>
      </c>
      <c r="C31" s="479">
        <f>SUM(C32:C34)</f>
        <v>3089284</v>
      </c>
      <c r="D31" s="479">
        <f aca="true" t="shared" si="17" ref="D31:L31">SUM(D32:D34)</f>
        <v>5968460</v>
      </c>
      <c r="E31" s="479">
        <f t="shared" si="17"/>
        <v>5917860</v>
      </c>
      <c r="F31" s="479">
        <f t="shared" si="17"/>
        <v>5867860</v>
      </c>
      <c r="G31" s="479">
        <f t="shared" si="17"/>
        <v>5406218</v>
      </c>
      <c r="H31" s="479">
        <f t="shared" si="17"/>
        <v>4979000</v>
      </c>
      <c r="I31" s="479">
        <f t="shared" si="17"/>
        <v>1925000</v>
      </c>
      <c r="J31" s="479">
        <f t="shared" si="17"/>
        <v>1602600</v>
      </c>
      <c r="K31" s="479">
        <f t="shared" si="17"/>
        <v>475000</v>
      </c>
      <c r="L31" s="479">
        <f t="shared" si="17"/>
        <v>0</v>
      </c>
      <c r="M31" s="506">
        <f>SUM(M32:M34)</f>
        <v>0</v>
      </c>
      <c r="N31" s="480">
        <v>2311000</v>
      </c>
    </row>
    <row r="32" spans="1:14" s="502" customFormat="1" ht="15" customHeight="1">
      <c r="A32" s="90" t="s">
        <v>680</v>
      </c>
      <c r="B32" s="484" t="s">
        <v>681</v>
      </c>
      <c r="C32" s="485">
        <v>1477600</v>
      </c>
      <c r="D32" s="485">
        <v>4167860</v>
      </c>
      <c r="E32" s="485">
        <v>4167860</v>
      </c>
      <c r="F32" s="485">
        <v>4367860</v>
      </c>
      <c r="G32" s="485">
        <v>4306218</v>
      </c>
      <c r="H32" s="485">
        <v>4079000</v>
      </c>
      <c r="I32" s="485">
        <v>1225000</v>
      </c>
      <c r="J32" s="485">
        <v>1152600</v>
      </c>
      <c r="K32" s="485">
        <v>275000</v>
      </c>
      <c r="L32" s="485">
        <v>0</v>
      </c>
      <c r="M32" s="505">
        <v>0</v>
      </c>
      <c r="N32" s="520">
        <v>0</v>
      </c>
    </row>
    <row r="33" spans="1:14" s="502" customFormat="1" ht="51" hidden="1">
      <c r="A33" s="90" t="s">
        <v>304</v>
      </c>
      <c r="B33" s="484" t="s">
        <v>239</v>
      </c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505"/>
      <c r="N33" s="486"/>
    </row>
    <row r="34" spans="1:14" s="502" customFormat="1" ht="15" customHeight="1">
      <c r="A34" s="90" t="s">
        <v>304</v>
      </c>
      <c r="B34" s="484" t="s">
        <v>240</v>
      </c>
      <c r="C34" s="485">
        <v>1611684</v>
      </c>
      <c r="D34" s="485">
        <v>1800600</v>
      </c>
      <c r="E34" s="485">
        <v>1750000</v>
      </c>
      <c r="F34" s="485">
        <v>1500000</v>
      </c>
      <c r="G34" s="485">
        <v>1100000</v>
      </c>
      <c r="H34" s="485">
        <v>900000</v>
      </c>
      <c r="I34" s="485">
        <v>700000</v>
      </c>
      <c r="J34" s="485">
        <v>450000</v>
      </c>
      <c r="K34" s="485">
        <v>200000</v>
      </c>
      <c r="L34" s="485">
        <v>0</v>
      </c>
      <c r="M34" s="505">
        <v>0</v>
      </c>
      <c r="N34" s="505">
        <f>ROUND(N44*5%,0)</f>
        <v>12008</v>
      </c>
    </row>
    <row r="35" spans="1:14" s="502" customFormat="1" ht="30">
      <c r="A35" s="482" t="s">
        <v>242</v>
      </c>
      <c r="B35" s="492" t="s">
        <v>243</v>
      </c>
      <c r="C35" s="479">
        <f>SUM(C36:C38)</f>
        <v>0</v>
      </c>
      <c r="D35" s="479">
        <f aca="true" t="shared" si="18" ref="D35:L35">SUM(D36:D38)</f>
        <v>199400</v>
      </c>
      <c r="E35" s="479">
        <f t="shared" si="18"/>
        <v>1955000</v>
      </c>
      <c r="F35" s="479">
        <f t="shared" si="18"/>
        <v>1950000</v>
      </c>
      <c r="G35" s="479">
        <f t="shared" si="18"/>
        <v>1880000</v>
      </c>
      <c r="H35" s="479">
        <f t="shared" si="18"/>
        <v>2860000</v>
      </c>
      <c r="I35" s="479">
        <f t="shared" si="18"/>
        <v>4340000</v>
      </c>
      <c r="J35" s="479">
        <f t="shared" si="18"/>
        <v>4320000</v>
      </c>
      <c r="K35" s="479">
        <f t="shared" si="18"/>
        <v>4839940</v>
      </c>
      <c r="L35" s="479">
        <f t="shared" si="18"/>
        <v>3618233</v>
      </c>
      <c r="M35" s="506">
        <f>SUM(M36:M38)</f>
        <v>0</v>
      </c>
      <c r="N35" s="506"/>
    </row>
    <row r="36" spans="1:14" s="502" customFormat="1" ht="15" customHeight="1">
      <c r="A36" s="90" t="s">
        <v>680</v>
      </c>
      <c r="B36" s="484" t="s">
        <v>681</v>
      </c>
      <c r="C36" s="485">
        <v>0</v>
      </c>
      <c r="D36" s="485">
        <v>0</v>
      </c>
      <c r="E36" s="485">
        <v>1500000</v>
      </c>
      <c r="F36" s="485">
        <v>1500000</v>
      </c>
      <c r="G36" s="485">
        <v>1500000</v>
      </c>
      <c r="H36" s="485">
        <v>2500000</v>
      </c>
      <c r="I36" s="485">
        <v>4000000</v>
      </c>
      <c r="J36" s="485">
        <v>4000000</v>
      </c>
      <c r="K36" s="485">
        <v>4500000</v>
      </c>
      <c r="L36" s="485">
        <v>3393233</v>
      </c>
      <c r="M36" s="505">
        <v>0</v>
      </c>
      <c r="N36" s="486"/>
    </row>
    <row r="37" spans="1:14" s="502" customFormat="1" ht="51" hidden="1">
      <c r="A37" s="90" t="s">
        <v>304</v>
      </c>
      <c r="B37" s="484" t="s">
        <v>239</v>
      </c>
      <c r="C37" s="228"/>
      <c r="D37" s="228"/>
      <c r="E37" s="485"/>
      <c r="F37" s="485"/>
      <c r="G37" s="485"/>
      <c r="H37" s="485"/>
      <c r="I37" s="485"/>
      <c r="J37" s="485"/>
      <c r="K37" s="485"/>
      <c r="L37" s="485"/>
      <c r="M37" s="505"/>
      <c r="N37" s="486"/>
    </row>
    <row r="38" spans="1:14" s="502" customFormat="1" ht="15" customHeight="1">
      <c r="A38" s="90" t="s">
        <v>304</v>
      </c>
      <c r="B38" s="484" t="s">
        <v>240</v>
      </c>
      <c r="C38" s="485">
        <v>0</v>
      </c>
      <c r="D38" s="485">
        <v>199400</v>
      </c>
      <c r="E38" s="485">
        <v>455000</v>
      </c>
      <c r="F38" s="485">
        <v>450000</v>
      </c>
      <c r="G38" s="485">
        <v>380000</v>
      </c>
      <c r="H38" s="485">
        <v>360000</v>
      </c>
      <c r="I38" s="485">
        <v>340000</v>
      </c>
      <c r="J38" s="485">
        <v>320000</v>
      </c>
      <c r="K38" s="485">
        <f>250000+89940</f>
        <v>339940</v>
      </c>
      <c r="L38" s="485">
        <v>225000</v>
      </c>
      <c r="M38" s="505">
        <v>0</v>
      </c>
      <c r="N38" s="486"/>
    </row>
    <row r="39" spans="1:14" s="502" customFormat="1" ht="15" customHeight="1">
      <c r="A39" s="482" t="s">
        <v>246</v>
      </c>
      <c r="B39" s="492" t="s">
        <v>245</v>
      </c>
      <c r="C39" s="479">
        <v>2000000</v>
      </c>
      <c r="D39" s="479">
        <v>0</v>
      </c>
      <c r="E39" s="479">
        <v>0</v>
      </c>
      <c r="F39" s="479">
        <v>0</v>
      </c>
      <c r="G39" s="479">
        <v>0</v>
      </c>
      <c r="H39" s="479">
        <v>0</v>
      </c>
      <c r="I39" s="479">
        <v>0</v>
      </c>
      <c r="J39" s="479">
        <v>0</v>
      </c>
      <c r="K39" s="479">
        <v>0</v>
      </c>
      <c r="L39" s="479">
        <v>0</v>
      </c>
      <c r="M39" s="506">
        <v>0</v>
      </c>
      <c r="N39" s="480">
        <v>1000000</v>
      </c>
    </row>
    <row r="40" spans="1:14" s="502" customFormat="1" ht="15" customHeight="1">
      <c r="A40" s="482" t="s">
        <v>247</v>
      </c>
      <c r="B40" s="492" t="s">
        <v>244</v>
      </c>
      <c r="C40" s="479">
        <v>0</v>
      </c>
      <c r="D40" s="479">
        <v>0</v>
      </c>
      <c r="E40" s="479">
        <v>0</v>
      </c>
      <c r="F40" s="479">
        <v>0</v>
      </c>
      <c r="G40" s="479">
        <v>0</v>
      </c>
      <c r="H40" s="479">
        <v>0</v>
      </c>
      <c r="I40" s="479">
        <v>0</v>
      </c>
      <c r="J40" s="479">
        <v>0</v>
      </c>
      <c r="K40" s="479">
        <v>0</v>
      </c>
      <c r="L40" s="479">
        <v>0</v>
      </c>
      <c r="M40" s="506">
        <v>0</v>
      </c>
      <c r="N40" s="519">
        <v>0</v>
      </c>
    </row>
    <row r="41" spans="1:14" s="500" customFormat="1" ht="25.5" customHeight="1">
      <c r="A41" s="477" t="s">
        <v>350</v>
      </c>
      <c r="B41" s="499" t="s">
        <v>286</v>
      </c>
      <c r="C41" s="479">
        <f aca="true" t="shared" si="19" ref="C41:L41">SUM(C27+C28-C32-C36-C39)</f>
        <v>23570759</v>
      </c>
      <c r="D41" s="479">
        <f t="shared" si="19"/>
        <v>27460222</v>
      </c>
      <c r="E41" s="479">
        <f t="shared" si="19"/>
        <v>29563481</v>
      </c>
      <c r="F41" s="479">
        <f t="shared" si="19"/>
        <v>28568887</v>
      </c>
      <c r="G41" s="479">
        <f t="shared" si="19"/>
        <v>24796288</v>
      </c>
      <c r="H41" s="479">
        <f t="shared" si="19"/>
        <v>18545833</v>
      </c>
      <c r="I41" s="479">
        <f t="shared" si="19"/>
        <v>13320833</v>
      </c>
      <c r="J41" s="479">
        <f t="shared" si="19"/>
        <v>8168233</v>
      </c>
      <c r="K41" s="479">
        <f t="shared" si="19"/>
        <v>3393233</v>
      </c>
      <c r="L41" s="479">
        <f t="shared" si="19"/>
        <v>0</v>
      </c>
      <c r="M41" s="506">
        <f>SUM(M27+M28-M32-M36-M39)</f>
        <v>0</v>
      </c>
      <c r="N41" s="480">
        <f>SUM(N27,N28,-N31,-N39)</f>
        <v>240162</v>
      </c>
    </row>
    <row r="42" spans="1:14" s="500" customFormat="1" ht="51" customHeight="1">
      <c r="A42" s="1004" t="s">
        <v>352</v>
      </c>
      <c r="B42" s="917" t="s">
        <v>287</v>
      </c>
      <c r="C42" s="479">
        <f>SUM(C32,C36,C40,C39,C34,C38)</f>
        <v>5089284</v>
      </c>
      <c r="D42" s="479">
        <f>SUM(D32,D36,D40,D39,D34,D38)</f>
        <v>6167860</v>
      </c>
      <c r="E42" s="479">
        <f aca="true" t="shared" si="20" ref="E42:L42">SUM(E32,E36,E40,E39,E34,E38)</f>
        <v>7872860</v>
      </c>
      <c r="F42" s="479">
        <f t="shared" si="20"/>
        <v>7817860</v>
      </c>
      <c r="G42" s="479">
        <f t="shared" si="20"/>
        <v>7286218</v>
      </c>
      <c r="H42" s="479">
        <f t="shared" si="20"/>
        <v>7839000</v>
      </c>
      <c r="I42" s="479">
        <f t="shared" si="20"/>
        <v>6265000</v>
      </c>
      <c r="J42" s="479">
        <f t="shared" si="20"/>
        <v>5922600</v>
      </c>
      <c r="K42" s="479">
        <f t="shared" si="20"/>
        <v>5314940</v>
      </c>
      <c r="L42" s="479">
        <f t="shared" si="20"/>
        <v>3618233</v>
      </c>
      <c r="M42" s="506">
        <f>SUM(M32,M36,M40,M39,M34,M38)</f>
        <v>0</v>
      </c>
      <c r="N42" s="480">
        <f>SUM(N31:N39,N22)</f>
        <v>3323008</v>
      </c>
    </row>
    <row r="43" spans="1:14" s="509" customFormat="1" ht="17.25" customHeight="1">
      <c r="A43" s="1005"/>
      <c r="B43" s="1006"/>
      <c r="C43" s="507">
        <f aca="true" t="shared" si="21" ref="C43:N43">C42/C11</f>
        <v>0.0807283066679621</v>
      </c>
      <c r="D43" s="507">
        <f t="shared" si="21"/>
        <v>0.07742572792318068</v>
      </c>
      <c r="E43" s="507">
        <f t="shared" si="21"/>
        <v>0.09409023238059452</v>
      </c>
      <c r="F43" s="507">
        <f t="shared" si="21"/>
        <v>0.09571380682186235</v>
      </c>
      <c r="G43" s="507">
        <f t="shared" si="21"/>
        <v>0.09748263771241558</v>
      </c>
      <c r="H43" s="507">
        <f t="shared" si="21"/>
        <v>0.10192257917199418</v>
      </c>
      <c r="I43" s="507">
        <f t="shared" si="21"/>
        <v>0.07916176022750673</v>
      </c>
      <c r="J43" s="507">
        <f t="shared" si="21"/>
        <v>0.07272628411973217</v>
      </c>
      <c r="K43" s="507">
        <f t="shared" si="21"/>
        <v>0.06342522214353083</v>
      </c>
      <c r="L43" s="507">
        <f t="shared" si="21"/>
        <v>0.04196089929753187</v>
      </c>
      <c r="M43" s="508">
        <f t="shared" si="21"/>
        <v>0</v>
      </c>
      <c r="N43" s="508">
        <f t="shared" si="21"/>
        <v>0.03636026610443646</v>
      </c>
    </row>
    <row r="44" spans="1:14" s="500" customFormat="1" ht="25.5" customHeight="1">
      <c r="A44" s="477" t="s">
        <v>352</v>
      </c>
      <c r="B44" s="499" t="s">
        <v>248</v>
      </c>
      <c r="C44" s="479">
        <f>SUM(C45:C46)</f>
        <v>23570759</v>
      </c>
      <c r="D44" s="479">
        <f aca="true" t="shared" si="22" ref="D44:K44">SUM(D45:D46)</f>
        <v>27460222</v>
      </c>
      <c r="E44" s="479">
        <f t="shared" si="22"/>
        <v>29563481</v>
      </c>
      <c r="F44" s="479">
        <f t="shared" si="22"/>
        <v>28568887</v>
      </c>
      <c r="G44" s="479">
        <f t="shared" si="22"/>
        <v>24796288</v>
      </c>
      <c r="H44" s="479">
        <f t="shared" si="22"/>
        <v>18545833</v>
      </c>
      <c r="I44" s="479">
        <f t="shared" si="22"/>
        <v>13320833</v>
      </c>
      <c r="J44" s="479">
        <f t="shared" si="22"/>
        <v>8168233</v>
      </c>
      <c r="K44" s="479">
        <f t="shared" si="22"/>
        <v>3393233</v>
      </c>
      <c r="L44" s="479">
        <f>SUM(L45:L46)</f>
        <v>0</v>
      </c>
      <c r="M44" s="506">
        <f>SUM(M45:M46)</f>
        <v>0</v>
      </c>
      <c r="N44" s="480">
        <f>SUM(N45:N46)</f>
        <v>240162</v>
      </c>
    </row>
    <row r="45" spans="1:14" s="502" customFormat="1" ht="15" customHeight="1" hidden="1">
      <c r="A45" s="482">
        <v>1</v>
      </c>
      <c r="B45" s="492" t="s">
        <v>288</v>
      </c>
      <c r="C45" s="503">
        <v>23570759</v>
      </c>
      <c r="D45" s="229">
        <f aca="true" t="shared" si="23" ref="D45:L45">C45+D28-D32-D36</f>
        <v>27460222</v>
      </c>
      <c r="E45" s="229">
        <f t="shared" si="23"/>
        <v>29563481</v>
      </c>
      <c r="F45" s="229">
        <f t="shared" si="23"/>
        <v>28568887</v>
      </c>
      <c r="G45" s="229">
        <f t="shared" si="23"/>
        <v>24796288</v>
      </c>
      <c r="H45" s="229">
        <f t="shared" si="23"/>
        <v>18545833</v>
      </c>
      <c r="I45" s="229">
        <f t="shared" si="23"/>
        <v>13320833</v>
      </c>
      <c r="J45" s="229">
        <f t="shared" si="23"/>
        <v>8168233</v>
      </c>
      <c r="K45" s="229">
        <f t="shared" si="23"/>
        <v>3393233</v>
      </c>
      <c r="L45" s="229">
        <f t="shared" si="23"/>
        <v>0</v>
      </c>
      <c r="M45" s="701">
        <f>L45+M28-M32-M36</f>
        <v>0</v>
      </c>
      <c r="N45" s="480">
        <f>M45+N28-N31</f>
        <v>1240162</v>
      </c>
    </row>
    <row r="46" spans="1:14" s="502" customFormat="1" ht="15" customHeight="1" hidden="1">
      <c r="A46" s="482">
        <v>2</v>
      </c>
      <c r="B46" s="492" t="s">
        <v>284</v>
      </c>
      <c r="C46" s="503">
        <v>0</v>
      </c>
      <c r="D46" s="229">
        <v>0</v>
      </c>
      <c r="E46" s="229">
        <v>0</v>
      </c>
      <c r="F46" s="229">
        <v>0</v>
      </c>
      <c r="G46" s="229">
        <f aca="true" t="shared" si="24" ref="G46:L46">F46-G39</f>
        <v>0</v>
      </c>
      <c r="H46" s="229">
        <f t="shared" si="24"/>
        <v>0</v>
      </c>
      <c r="I46" s="229">
        <f t="shared" si="24"/>
        <v>0</v>
      </c>
      <c r="J46" s="229">
        <f t="shared" si="24"/>
        <v>0</v>
      </c>
      <c r="K46" s="229">
        <f t="shared" si="24"/>
        <v>0</v>
      </c>
      <c r="L46" s="229">
        <f t="shared" si="24"/>
        <v>0</v>
      </c>
      <c r="M46" s="701">
        <f>L46-M39</f>
        <v>0</v>
      </c>
      <c r="N46" s="480">
        <f>M46-N39</f>
        <v>-1000000</v>
      </c>
    </row>
    <row r="47" spans="1:14" s="511" customFormat="1" ht="51">
      <c r="A47" s="510" t="s">
        <v>303</v>
      </c>
      <c r="B47" s="484" t="s">
        <v>249</v>
      </c>
      <c r="C47" s="377">
        <v>0</v>
      </c>
      <c r="D47" s="377">
        <v>0</v>
      </c>
      <c r="E47" s="377">
        <v>0</v>
      </c>
      <c r="F47" s="377">
        <v>0</v>
      </c>
      <c r="G47" s="377">
        <v>0</v>
      </c>
      <c r="H47" s="377">
        <v>0</v>
      </c>
      <c r="I47" s="377">
        <v>0</v>
      </c>
      <c r="J47" s="377">
        <v>0</v>
      </c>
      <c r="K47" s="377">
        <v>0</v>
      </c>
      <c r="L47" s="377">
        <v>0</v>
      </c>
      <c r="M47" s="702">
        <v>0</v>
      </c>
      <c r="N47" s="493"/>
    </row>
    <row r="48" spans="1:14" s="514" customFormat="1" ht="21" customHeight="1">
      <c r="A48" s="491" t="s">
        <v>1</v>
      </c>
      <c r="B48" s="499" t="s">
        <v>715</v>
      </c>
      <c r="C48" s="512">
        <f aca="true" t="shared" si="25" ref="C48:L48">C44/C11</f>
        <v>0.37388903054901784</v>
      </c>
      <c r="D48" s="512">
        <f t="shared" si="25"/>
        <v>0.34471075499154336</v>
      </c>
      <c r="E48" s="512">
        <f t="shared" si="25"/>
        <v>0.35331947948639897</v>
      </c>
      <c r="F48" s="512">
        <f t="shared" si="25"/>
        <v>0.3497679584225881</v>
      </c>
      <c r="G48" s="512">
        <f t="shared" si="25"/>
        <v>0.33175065029851125</v>
      </c>
      <c r="H48" s="512">
        <f t="shared" si="25"/>
        <v>0.24113268685458378</v>
      </c>
      <c r="I48" s="512">
        <f t="shared" si="25"/>
        <v>0.16831613535142206</v>
      </c>
      <c r="J48" s="512">
        <f t="shared" si="25"/>
        <v>0.10030142739914434</v>
      </c>
      <c r="K48" s="512">
        <f t="shared" si="25"/>
        <v>0.04049275378645094</v>
      </c>
      <c r="L48" s="512">
        <f t="shared" si="25"/>
        <v>0</v>
      </c>
      <c r="M48" s="513">
        <f>M44/M11</f>
        <v>0</v>
      </c>
      <c r="N48" s="513">
        <f>N44/N11</f>
        <v>0.0026278462851048413</v>
      </c>
    </row>
    <row r="49" spans="1:14" s="517" customFormat="1" ht="25.5">
      <c r="A49" s="491" t="s">
        <v>2</v>
      </c>
      <c r="B49" s="499" t="s">
        <v>716</v>
      </c>
      <c r="C49" s="515">
        <f aca="true" t="shared" si="26" ref="C49:L49">(C42/C11)</f>
        <v>0.0807283066679621</v>
      </c>
      <c r="D49" s="515">
        <f t="shared" si="26"/>
        <v>0.07742572792318068</v>
      </c>
      <c r="E49" s="515">
        <f t="shared" si="26"/>
        <v>0.09409023238059452</v>
      </c>
      <c r="F49" s="515">
        <f t="shared" si="26"/>
        <v>0.09571380682186235</v>
      </c>
      <c r="G49" s="515">
        <f t="shared" si="26"/>
        <v>0.09748263771241558</v>
      </c>
      <c r="H49" s="515">
        <f t="shared" si="26"/>
        <v>0.10192257917199418</v>
      </c>
      <c r="I49" s="515">
        <f t="shared" si="26"/>
        <v>0.07916176022750673</v>
      </c>
      <c r="J49" s="515">
        <f t="shared" si="26"/>
        <v>0.07272628411973217</v>
      </c>
      <c r="K49" s="515">
        <f t="shared" si="26"/>
        <v>0.06342522214353083</v>
      </c>
      <c r="L49" s="515">
        <f t="shared" si="26"/>
        <v>0.04196089929753187</v>
      </c>
      <c r="M49" s="516">
        <f>(M42/M11)</f>
        <v>0</v>
      </c>
      <c r="N49" s="516"/>
    </row>
    <row r="50" spans="1:14" s="70" customFormat="1" ht="17.25" customHeight="1">
      <c r="A50" s="491" t="s">
        <v>3</v>
      </c>
      <c r="B50" s="499" t="s">
        <v>717</v>
      </c>
      <c r="C50" s="515">
        <f aca="true" t="shared" si="27" ref="C50:L50">C44/C11</f>
        <v>0.37388903054901784</v>
      </c>
      <c r="D50" s="515">
        <f t="shared" si="27"/>
        <v>0.34471075499154336</v>
      </c>
      <c r="E50" s="515">
        <f t="shared" si="27"/>
        <v>0.35331947948639897</v>
      </c>
      <c r="F50" s="515">
        <f t="shared" si="27"/>
        <v>0.3497679584225881</v>
      </c>
      <c r="G50" s="515">
        <f t="shared" si="27"/>
        <v>0.33175065029851125</v>
      </c>
      <c r="H50" s="515">
        <f t="shared" si="27"/>
        <v>0.24113268685458378</v>
      </c>
      <c r="I50" s="515">
        <f t="shared" si="27"/>
        <v>0.16831613535142206</v>
      </c>
      <c r="J50" s="515">
        <f t="shared" si="27"/>
        <v>0.10030142739914434</v>
      </c>
      <c r="K50" s="515">
        <f t="shared" si="27"/>
        <v>0.04049275378645094</v>
      </c>
      <c r="L50" s="515">
        <f t="shared" si="27"/>
        <v>0</v>
      </c>
      <c r="M50" s="516">
        <f>M44/M11</f>
        <v>0</v>
      </c>
      <c r="N50" s="516"/>
    </row>
    <row r="51" spans="1:14" s="70" customFormat="1" ht="24.75" customHeight="1">
      <c r="A51" s="491" t="s">
        <v>4</v>
      </c>
      <c r="B51" s="499" t="s">
        <v>718</v>
      </c>
      <c r="C51" s="515">
        <f aca="true" t="shared" si="28" ref="C51:L51">C42/C11</f>
        <v>0.0807283066679621</v>
      </c>
      <c r="D51" s="515">
        <f t="shared" si="28"/>
        <v>0.07742572792318068</v>
      </c>
      <c r="E51" s="515">
        <f t="shared" si="28"/>
        <v>0.09409023238059452</v>
      </c>
      <c r="F51" s="515">
        <f t="shared" si="28"/>
        <v>0.09571380682186235</v>
      </c>
      <c r="G51" s="515">
        <f t="shared" si="28"/>
        <v>0.09748263771241558</v>
      </c>
      <c r="H51" s="515">
        <f t="shared" si="28"/>
        <v>0.10192257917199418</v>
      </c>
      <c r="I51" s="515">
        <f t="shared" si="28"/>
        <v>0.07916176022750673</v>
      </c>
      <c r="J51" s="515">
        <f t="shared" si="28"/>
        <v>0.07272628411973217</v>
      </c>
      <c r="K51" s="515">
        <f t="shared" si="28"/>
        <v>0.06342522214353083</v>
      </c>
      <c r="L51" s="515">
        <f t="shared" si="28"/>
        <v>0.04196089929753187</v>
      </c>
      <c r="M51" s="516">
        <f>M42/M11</f>
        <v>0</v>
      </c>
      <c r="N51" s="516"/>
    </row>
    <row r="52" spans="1:13" ht="12.75">
      <c r="A52" s="65"/>
      <c r="D52" s="59"/>
      <c r="E52" s="59"/>
      <c r="F52" s="91"/>
      <c r="G52" s="65"/>
      <c r="H52" s="59"/>
      <c r="I52" s="59"/>
      <c r="J52" s="59"/>
      <c r="K52" s="59"/>
      <c r="L52" s="91"/>
      <c r="M52" s="65"/>
    </row>
    <row r="53" spans="1:14" ht="12.75" hidden="1">
      <c r="A53" s="65"/>
      <c r="D53" s="59"/>
      <c r="E53" s="59">
        <f>E41*5%</f>
        <v>1478174.05</v>
      </c>
      <c r="F53" s="59">
        <f aca="true" t="shared" si="29" ref="F53:N53">F41*5%</f>
        <v>1428444.35</v>
      </c>
      <c r="G53" s="59">
        <f t="shared" si="29"/>
        <v>1239814.4000000001</v>
      </c>
      <c r="H53" s="59">
        <f t="shared" si="29"/>
        <v>927291.65</v>
      </c>
      <c r="I53" s="59">
        <f t="shared" si="29"/>
        <v>666041.65</v>
      </c>
      <c r="J53" s="59">
        <f t="shared" si="29"/>
        <v>408411.65</v>
      </c>
      <c r="K53" s="59">
        <f t="shared" si="29"/>
        <v>169661.65000000002</v>
      </c>
      <c r="L53" s="59">
        <f t="shared" si="29"/>
        <v>0</v>
      </c>
      <c r="M53" s="59">
        <f t="shared" si="29"/>
        <v>0</v>
      </c>
      <c r="N53" s="171">
        <f t="shared" si="29"/>
        <v>12008.1</v>
      </c>
    </row>
    <row r="54" spans="1:13" ht="12.75">
      <c r="A54" s="65"/>
      <c r="D54" s="59"/>
      <c r="E54" s="59"/>
      <c r="F54" s="91"/>
      <c r="G54" s="65"/>
      <c r="H54" s="59"/>
      <c r="I54" s="59"/>
      <c r="J54" s="59"/>
      <c r="K54" s="59"/>
      <c r="L54" s="91"/>
      <c r="M54" s="65"/>
    </row>
    <row r="55" spans="1:13" ht="12.75">
      <c r="A55" s="65"/>
      <c r="D55" s="59"/>
      <c r="E55" s="59"/>
      <c r="F55" s="91"/>
      <c r="G55" s="65"/>
      <c r="H55" s="59"/>
      <c r="I55" s="59"/>
      <c r="J55" s="59"/>
      <c r="K55" s="59"/>
      <c r="L55" s="91"/>
      <c r="M55" s="65"/>
    </row>
    <row r="56" spans="1:13" ht="12.75">
      <c r="A56" s="65"/>
      <c r="D56" s="59"/>
      <c r="E56" s="59"/>
      <c r="F56" s="91"/>
      <c r="G56" s="65"/>
      <c r="H56" s="59"/>
      <c r="I56" s="59"/>
      <c r="J56" s="59"/>
      <c r="K56" s="59"/>
      <c r="L56" s="91"/>
      <c r="M56" s="65"/>
    </row>
    <row r="57" spans="4:13" ht="12.75">
      <c r="D57" s="59"/>
      <c r="E57" s="59"/>
      <c r="F57" s="91"/>
      <c r="G57" s="59"/>
      <c r="H57" s="59"/>
      <c r="I57" s="59"/>
      <c r="J57" s="59"/>
      <c r="K57" s="59"/>
      <c r="L57" s="91"/>
      <c r="M57" s="59"/>
    </row>
    <row r="58" spans="4:13" ht="12.75">
      <c r="D58" s="59"/>
      <c r="E58" s="59"/>
      <c r="F58" s="91"/>
      <c r="G58" s="59"/>
      <c r="H58" s="59"/>
      <c r="I58" s="59"/>
      <c r="J58" s="59"/>
      <c r="K58" s="59"/>
      <c r="L58" s="91"/>
      <c r="M58" s="59"/>
    </row>
    <row r="59" spans="4:13" ht="12.75">
      <c r="D59" s="59"/>
      <c r="E59" s="59"/>
      <c r="F59" s="91"/>
      <c r="G59" s="59"/>
      <c r="H59" s="59"/>
      <c r="I59" s="59"/>
      <c r="J59" s="59"/>
      <c r="K59" s="59"/>
      <c r="L59" s="91"/>
      <c r="M59" s="59"/>
    </row>
    <row r="60" spans="4:13" ht="12.75">
      <c r="D60" s="59"/>
      <c r="E60" s="59"/>
      <c r="F60" s="91"/>
      <c r="G60" s="59"/>
      <c r="H60" s="59"/>
      <c r="I60" s="59"/>
      <c r="J60" s="59"/>
      <c r="K60" s="59"/>
      <c r="L60" s="91"/>
      <c r="M60" s="59"/>
    </row>
    <row r="61" spans="4:13" ht="12.75">
      <c r="D61" s="59"/>
      <c r="E61" s="59"/>
      <c r="F61" s="91"/>
      <c r="G61" s="59"/>
      <c r="H61" s="59"/>
      <c r="I61" s="59"/>
      <c r="J61" s="59"/>
      <c r="K61" s="59"/>
      <c r="L61" s="91"/>
      <c r="M61" s="59"/>
    </row>
    <row r="62" spans="4:13" ht="12.75">
      <c r="D62" s="59"/>
      <c r="E62" s="59"/>
      <c r="F62" s="59"/>
      <c r="G62" s="59"/>
      <c r="H62" s="59"/>
      <c r="I62" s="59"/>
      <c r="J62" s="59"/>
      <c r="K62" s="59"/>
      <c r="L62" s="59"/>
      <c r="M62" s="59"/>
    </row>
    <row r="63" spans="4:13" ht="12.75">
      <c r="D63" s="59"/>
      <c r="E63" s="59"/>
      <c r="F63" s="59"/>
      <c r="G63" s="59"/>
      <c r="H63" s="59"/>
      <c r="I63" s="59"/>
      <c r="J63" s="59"/>
      <c r="K63" s="59"/>
      <c r="L63" s="59"/>
      <c r="M63" s="59"/>
    </row>
    <row r="64" spans="4:13" ht="12.75">
      <c r="D64" s="59"/>
      <c r="E64" s="59"/>
      <c r="F64" s="59"/>
      <c r="G64" s="59"/>
      <c r="H64" s="59"/>
      <c r="I64" s="59"/>
      <c r="J64" s="59"/>
      <c r="K64" s="59"/>
      <c r="L64" s="59"/>
      <c r="M64" s="59"/>
    </row>
    <row r="65" spans="4:13" ht="12.75">
      <c r="D65" s="59"/>
      <c r="E65" s="59"/>
      <c r="F65" s="59"/>
      <c r="G65" s="59"/>
      <c r="H65" s="59"/>
      <c r="I65" s="59"/>
      <c r="J65" s="59"/>
      <c r="K65" s="59"/>
      <c r="L65" s="59"/>
      <c r="M65" s="59"/>
    </row>
    <row r="66" spans="4:13" ht="12.75">
      <c r="D66" s="59"/>
      <c r="E66" s="59"/>
      <c r="F66" s="59"/>
      <c r="G66" s="59"/>
      <c r="H66" s="59"/>
      <c r="I66" s="59"/>
      <c r="J66" s="59"/>
      <c r="K66" s="59"/>
      <c r="L66" s="59"/>
      <c r="M66" s="59"/>
    </row>
    <row r="67" spans="4:13" ht="12.75">
      <c r="D67" s="59"/>
      <c r="E67" s="59"/>
      <c r="F67" s="59"/>
      <c r="G67" s="59"/>
      <c r="H67" s="59"/>
      <c r="I67" s="59"/>
      <c r="J67" s="59"/>
      <c r="K67" s="59"/>
      <c r="L67" s="59"/>
      <c r="M67" s="59"/>
    </row>
    <row r="68" spans="4:13" ht="12.75">
      <c r="D68" s="59"/>
      <c r="E68" s="59"/>
      <c r="F68" s="59"/>
      <c r="G68" s="59"/>
      <c r="H68" s="59"/>
      <c r="I68" s="59"/>
      <c r="J68" s="59"/>
      <c r="K68" s="59"/>
      <c r="L68" s="59"/>
      <c r="M68" s="59"/>
    </row>
    <row r="69" spans="4:13" ht="12.75">
      <c r="D69" s="59"/>
      <c r="E69" s="59"/>
      <c r="F69" s="59"/>
      <c r="G69" s="59"/>
      <c r="H69" s="59"/>
      <c r="I69" s="59"/>
      <c r="J69" s="59"/>
      <c r="K69" s="59"/>
      <c r="L69" s="59"/>
      <c r="M69" s="59"/>
    </row>
    <row r="70" spans="4:13" ht="12.75">
      <c r="D70" s="59"/>
      <c r="E70" s="59"/>
      <c r="F70" s="59"/>
      <c r="G70" s="59"/>
      <c r="H70" s="59"/>
      <c r="I70" s="59"/>
      <c r="J70" s="59"/>
      <c r="K70" s="59"/>
      <c r="L70" s="59"/>
      <c r="M70" s="59"/>
    </row>
    <row r="71" spans="4:13" ht="12.75">
      <c r="D71" s="59"/>
      <c r="E71" s="59"/>
      <c r="F71" s="59"/>
      <c r="G71" s="59"/>
      <c r="H71" s="59"/>
      <c r="I71" s="59"/>
      <c r="J71" s="59"/>
      <c r="K71" s="59"/>
      <c r="L71" s="59"/>
      <c r="M71" s="59"/>
    </row>
    <row r="72" spans="4:13" ht="12.75">
      <c r="D72" s="59"/>
      <c r="E72" s="59"/>
      <c r="F72" s="59"/>
      <c r="G72" s="59"/>
      <c r="H72" s="59"/>
      <c r="I72" s="59"/>
      <c r="J72" s="59"/>
      <c r="K72" s="59"/>
      <c r="L72" s="59"/>
      <c r="M72" s="59"/>
    </row>
    <row r="73" spans="4:13" ht="12.75">
      <c r="D73" s="59"/>
      <c r="E73" s="59"/>
      <c r="F73" s="59"/>
      <c r="G73" s="59"/>
      <c r="H73" s="59"/>
      <c r="I73" s="59"/>
      <c r="J73" s="59"/>
      <c r="K73" s="59"/>
      <c r="L73" s="59"/>
      <c r="M73" s="59"/>
    </row>
    <row r="74" spans="4:13" ht="12.75">
      <c r="D74" s="59"/>
      <c r="E74" s="59"/>
      <c r="F74" s="59"/>
      <c r="G74" s="59"/>
      <c r="H74" s="59"/>
      <c r="I74" s="59"/>
      <c r="J74" s="59"/>
      <c r="K74" s="59"/>
      <c r="L74" s="59"/>
      <c r="M74" s="59"/>
    </row>
    <row r="75" spans="4:13" ht="12.75">
      <c r="D75" s="59"/>
      <c r="E75" s="59"/>
      <c r="F75" s="59"/>
      <c r="G75" s="59"/>
      <c r="H75" s="59"/>
      <c r="I75" s="59"/>
      <c r="J75" s="59"/>
      <c r="K75" s="59"/>
      <c r="L75" s="59"/>
      <c r="M75" s="59"/>
    </row>
    <row r="76" spans="4:13" ht="12.75">
      <c r="D76" s="59"/>
      <c r="E76" s="59"/>
      <c r="F76" s="59"/>
      <c r="G76" s="59"/>
      <c r="H76" s="59"/>
      <c r="I76" s="59"/>
      <c r="J76" s="59"/>
      <c r="K76" s="59"/>
      <c r="L76" s="59"/>
      <c r="M76" s="59"/>
    </row>
  </sheetData>
  <mergeCells count="5">
    <mergeCell ref="G7:J7"/>
    <mergeCell ref="K7:N7"/>
    <mergeCell ref="A42:A43"/>
    <mergeCell ref="B42:B43"/>
    <mergeCell ref="C7:C8"/>
  </mergeCells>
  <printOptions/>
  <pageMargins left="0.71" right="0.32" top="0.27" bottom="0.74" header="0.89" footer="0.34"/>
  <pageSetup horizontalDpi="600" verticalDpi="600" orientation="portrait" paperSize="9" scale="93" r:id="rId1"/>
  <headerFooter alignWithMargins="0">
    <oddHeader>&amp;C&amp;"Arial CE,Pogrubiony"&amp;14Prognozowana sytuacja finansowa powiatu w latach spłaty długu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M145"/>
  <sheetViews>
    <sheetView zoomScale="90" zoomScaleNormal="90" workbookViewId="0" topLeftCell="A9">
      <pane ySplit="1680" topLeftCell="BM1" activePane="bottomLeft" state="split"/>
      <selection pane="topLeft" activeCell="D8" sqref="D1:D16384"/>
      <selection pane="bottomLeft" activeCell="M2" sqref="M2"/>
    </sheetView>
  </sheetViews>
  <sheetFormatPr defaultColWidth="9.00390625" defaultRowHeight="12.75"/>
  <cols>
    <col min="1" max="1" width="4.25390625" style="39" customWidth="1"/>
    <col min="2" max="2" width="6.375" style="39" customWidth="1"/>
    <col min="3" max="3" width="24.00390625" style="41" customWidth="1"/>
    <col min="4" max="4" width="12.25390625" style="40" hidden="1" customWidth="1"/>
    <col min="5" max="5" width="12.00390625" style="40" customWidth="1"/>
    <col min="6" max="6" width="11.875" style="152" customWidth="1"/>
    <col min="7" max="7" width="11.625" style="152" customWidth="1"/>
    <col min="8" max="8" width="10.625" style="152" customWidth="1"/>
    <col min="9" max="9" width="11.75390625" style="152" customWidth="1"/>
    <col min="10" max="10" width="10.875" style="152" customWidth="1"/>
    <col min="11" max="11" width="8.75390625" style="152" customWidth="1"/>
    <col min="12" max="12" width="12.125" style="152" customWidth="1"/>
    <col min="13" max="13" width="10.375" style="26" customWidth="1"/>
    <col min="14" max="16384" width="9.125" style="26" customWidth="1"/>
  </cols>
  <sheetData>
    <row r="1" spans="1:13" ht="15.75">
      <c r="A1" s="116"/>
      <c r="C1" s="104"/>
      <c r="D1" s="48"/>
      <c r="E1" s="48"/>
      <c r="F1" s="151"/>
      <c r="G1" s="151"/>
      <c r="H1" s="151"/>
      <c r="I1" s="151"/>
      <c r="J1" s="151"/>
      <c r="K1" s="151"/>
      <c r="M1" s="48" t="s">
        <v>682</v>
      </c>
    </row>
    <row r="2" spans="3:13" ht="15">
      <c r="C2" s="21"/>
      <c r="D2" s="60"/>
      <c r="E2" s="60"/>
      <c r="M2" s="60" t="s">
        <v>761</v>
      </c>
    </row>
    <row r="3" spans="3:13" ht="15.75" customHeight="1">
      <c r="C3" s="21"/>
      <c r="D3" s="60"/>
      <c r="E3" s="60"/>
      <c r="M3" s="60" t="s">
        <v>24</v>
      </c>
    </row>
    <row r="4" ht="17.25" customHeight="1"/>
    <row r="5" spans="1:11" s="42" customFormat="1" ht="19.5" customHeight="1">
      <c r="A5" s="797" t="s">
        <v>42</v>
      </c>
      <c r="B5" s="797"/>
      <c r="C5" s="797"/>
      <c r="D5" s="797"/>
      <c r="E5" s="797"/>
      <c r="F5" s="797"/>
      <c r="G5" s="797"/>
      <c r="H5" s="797"/>
      <c r="I5" s="797"/>
      <c r="J5" s="797"/>
      <c r="K5" s="797"/>
    </row>
    <row r="6" spans="3:5" ht="11.25" customHeight="1">
      <c r="C6" s="43"/>
      <c r="D6" s="44"/>
      <c r="E6" s="44"/>
    </row>
    <row r="7" ht="7.5" customHeight="1"/>
    <row r="8" spans="1:13" s="176" customFormat="1" ht="11.25" customHeight="1">
      <c r="A8" s="798" t="s">
        <v>295</v>
      </c>
      <c r="B8" s="798" t="s">
        <v>296</v>
      </c>
      <c r="C8" s="799" t="s">
        <v>203</v>
      </c>
      <c r="D8" s="800" t="s">
        <v>40</v>
      </c>
      <c r="E8" s="800" t="s">
        <v>41</v>
      </c>
      <c r="F8" s="826" t="s">
        <v>652</v>
      </c>
      <c r="G8" s="826"/>
      <c r="H8" s="826"/>
      <c r="I8" s="826"/>
      <c r="J8" s="826"/>
      <c r="K8" s="826"/>
      <c r="L8" s="826"/>
      <c r="M8" s="826"/>
    </row>
    <row r="9" spans="1:13" s="177" customFormat="1" ht="23.25" customHeight="1">
      <c r="A9" s="798"/>
      <c r="B9" s="798"/>
      <c r="C9" s="799"/>
      <c r="D9" s="800"/>
      <c r="E9" s="800"/>
      <c r="F9" s="826" t="s">
        <v>197</v>
      </c>
      <c r="G9" s="826" t="s">
        <v>655</v>
      </c>
      <c r="H9" s="826"/>
      <c r="I9" s="826"/>
      <c r="J9" s="826"/>
      <c r="K9" s="826"/>
      <c r="L9" s="827" t="s">
        <v>281</v>
      </c>
      <c r="M9" s="149" t="s">
        <v>655</v>
      </c>
    </row>
    <row r="10" spans="1:13" s="178" customFormat="1" ht="45" customHeight="1">
      <c r="A10" s="798"/>
      <c r="B10" s="798"/>
      <c r="C10" s="799"/>
      <c r="D10" s="800"/>
      <c r="E10" s="800"/>
      <c r="F10" s="826"/>
      <c r="G10" s="149" t="s">
        <v>198</v>
      </c>
      <c r="H10" s="149" t="s">
        <v>199</v>
      </c>
      <c r="I10" s="149" t="s">
        <v>200</v>
      </c>
      <c r="J10" s="149" t="s">
        <v>201</v>
      </c>
      <c r="K10" s="149" t="s">
        <v>202</v>
      </c>
      <c r="L10" s="795"/>
      <c r="M10" s="149" t="s">
        <v>200</v>
      </c>
    </row>
    <row r="11" spans="1:13" s="178" customFormat="1" ht="11.25" customHeight="1">
      <c r="A11" s="236" t="s">
        <v>204</v>
      </c>
      <c r="B11" s="236" t="s">
        <v>205</v>
      </c>
      <c r="C11" s="236" t="s">
        <v>206</v>
      </c>
      <c r="D11" s="236" t="s">
        <v>207</v>
      </c>
      <c r="E11" s="236" t="s">
        <v>208</v>
      </c>
      <c r="F11" s="236" t="s">
        <v>209</v>
      </c>
      <c r="G11" s="236" t="s">
        <v>210</v>
      </c>
      <c r="H11" s="236" t="s">
        <v>211</v>
      </c>
      <c r="I11" s="236" t="s">
        <v>212</v>
      </c>
      <c r="J11" s="236" t="s">
        <v>213</v>
      </c>
      <c r="K11" s="236" t="s">
        <v>214</v>
      </c>
      <c r="L11" s="236" t="s">
        <v>215</v>
      </c>
      <c r="M11" s="237">
        <v>13</v>
      </c>
    </row>
    <row r="12" spans="1:13" s="45" customFormat="1" ht="25.5">
      <c r="A12" s="105" t="s">
        <v>393</v>
      </c>
      <c r="B12" s="105"/>
      <c r="C12" s="100" t="s">
        <v>394</v>
      </c>
      <c r="D12" s="449">
        <f aca="true" t="shared" si="0" ref="D12:M12">SUM(D13)</f>
        <v>6800</v>
      </c>
      <c r="E12" s="449">
        <f t="shared" si="0"/>
        <v>10000</v>
      </c>
      <c r="F12" s="452">
        <f t="shared" si="0"/>
        <v>10000</v>
      </c>
      <c r="G12" s="452">
        <f t="shared" si="0"/>
        <v>0</v>
      </c>
      <c r="H12" s="452">
        <f t="shared" si="0"/>
        <v>0</v>
      </c>
      <c r="I12" s="452">
        <f t="shared" si="0"/>
        <v>0</v>
      </c>
      <c r="J12" s="452">
        <f t="shared" si="0"/>
        <v>0</v>
      </c>
      <c r="K12" s="452">
        <f t="shared" si="0"/>
        <v>0</v>
      </c>
      <c r="L12" s="452">
        <f t="shared" si="0"/>
        <v>0</v>
      </c>
      <c r="M12" s="452">
        <f t="shared" si="0"/>
        <v>0</v>
      </c>
    </row>
    <row r="13" spans="1:13" s="45" customFormat="1" ht="36" customHeight="1">
      <c r="A13" s="105"/>
      <c r="B13" s="105" t="s">
        <v>395</v>
      </c>
      <c r="C13" s="102" t="s">
        <v>516</v>
      </c>
      <c r="D13" s="450">
        <v>6800</v>
      </c>
      <c r="E13" s="450">
        <f>SUM(F13,L13)</f>
        <v>10000</v>
      </c>
      <c r="F13" s="450">
        <v>10000</v>
      </c>
      <c r="G13" s="453">
        <v>0</v>
      </c>
      <c r="H13" s="453">
        <v>0</v>
      </c>
      <c r="I13" s="453">
        <v>0</v>
      </c>
      <c r="J13" s="453">
        <v>0</v>
      </c>
      <c r="K13" s="453">
        <v>0</v>
      </c>
      <c r="L13" s="453">
        <v>0</v>
      </c>
      <c r="M13" s="453">
        <v>0</v>
      </c>
    </row>
    <row r="14" spans="1:13" s="45" customFormat="1" ht="15" customHeight="1">
      <c r="A14" s="128" t="s">
        <v>399</v>
      </c>
      <c r="B14" s="105"/>
      <c r="C14" s="100" t="s">
        <v>400</v>
      </c>
      <c r="D14" s="449">
        <f>SUM(D15,D16)</f>
        <v>508460</v>
      </c>
      <c r="E14" s="449">
        <f>SUM(E15,E16)</f>
        <v>522505</v>
      </c>
      <c r="F14" s="452">
        <f aca="true" t="shared" si="1" ref="F14:M14">SUM(F15,F16)</f>
        <v>522505</v>
      </c>
      <c r="G14" s="452">
        <f t="shared" si="1"/>
        <v>0</v>
      </c>
      <c r="H14" s="452">
        <f t="shared" si="1"/>
        <v>0</v>
      </c>
      <c r="I14" s="452">
        <f t="shared" si="1"/>
        <v>0</v>
      </c>
      <c r="J14" s="452">
        <f t="shared" si="1"/>
        <v>0</v>
      </c>
      <c r="K14" s="452">
        <f t="shared" si="1"/>
        <v>0</v>
      </c>
      <c r="L14" s="452">
        <f t="shared" si="1"/>
        <v>0</v>
      </c>
      <c r="M14" s="452">
        <f t="shared" si="1"/>
        <v>0</v>
      </c>
    </row>
    <row r="15" spans="1:13" s="45" customFormat="1" ht="15.75" customHeight="1">
      <c r="A15" s="128"/>
      <c r="B15" s="129" t="s">
        <v>401</v>
      </c>
      <c r="C15" s="102" t="s">
        <v>402</v>
      </c>
      <c r="D15" s="450">
        <v>476500</v>
      </c>
      <c r="E15" s="450">
        <f>SUM(F15,L15)</f>
        <v>488000</v>
      </c>
      <c r="F15" s="453">
        <v>488000</v>
      </c>
      <c r="G15" s="453">
        <v>0</v>
      </c>
      <c r="H15" s="453">
        <v>0</v>
      </c>
      <c r="I15" s="453">
        <v>0</v>
      </c>
      <c r="J15" s="453">
        <v>0</v>
      </c>
      <c r="K15" s="453">
        <v>0</v>
      </c>
      <c r="L15" s="453">
        <v>0</v>
      </c>
      <c r="M15" s="453">
        <v>0</v>
      </c>
    </row>
    <row r="16" spans="1:13" s="45" customFormat="1" ht="15.75" customHeight="1">
      <c r="A16" s="134"/>
      <c r="B16" s="129" t="s">
        <v>517</v>
      </c>
      <c r="C16" s="102" t="s">
        <v>518</v>
      </c>
      <c r="D16" s="450">
        <v>31960</v>
      </c>
      <c r="E16" s="450">
        <f>SUM(F16,L16)</f>
        <v>34505</v>
      </c>
      <c r="F16" s="453">
        <v>34505</v>
      </c>
      <c r="G16" s="453">
        <v>0</v>
      </c>
      <c r="H16" s="453">
        <v>0</v>
      </c>
      <c r="I16" s="453">
        <v>0</v>
      </c>
      <c r="J16" s="453">
        <v>0</v>
      </c>
      <c r="K16" s="453">
        <v>0</v>
      </c>
      <c r="L16" s="453">
        <v>0</v>
      </c>
      <c r="M16" s="453">
        <v>0</v>
      </c>
    </row>
    <row r="17" spans="1:13" s="45" customFormat="1" ht="14.25" customHeight="1">
      <c r="A17" s="127" t="s">
        <v>405</v>
      </c>
      <c r="B17" s="105"/>
      <c r="C17" s="100" t="s">
        <v>406</v>
      </c>
      <c r="D17" s="449">
        <f aca="true" t="shared" si="2" ref="D17:M19">SUM(D18)</f>
        <v>6536306</v>
      </c>
      <c r="E17" s="449">
        <f t="shared" si="2"/>
        <v>18539627</v>
      </c>
      <c r="F17" s="449">
        <f t="shared" si="2"/>
        <v>4909021</v>
      </c>
      <c r="G17" s="449">
        <f t="shared" si="2"/>
        <v>783514</v>
      </c>
      <c r="H17" s="449">
        <f t="shared" si="2"/>
        <v>135552</v>
      </c>
      <c r="I17" s="449">
        <f t="shared" si="2"/>
        <v>149000</v>
      </c>
      <c r="J17" s="449">
        <f t="shared" si="2"/>
        <v>0</v>
      </c>
      <c r="K17" s="449">
        <f t="shared" si="2"/>
        <v>0</v>
      </c>
      <c r="L17" s="603">
        <f t="shared" si="2"/>
        <v>13630606</v>
      </c>
      <c r="M17" s="603">
        <f t="shared" si="2"/>
        <v>0</v>
      </c>
    </row>
    <row r="18" spans="1:13" s="45" customFormat="1" ht="15" customHeight="1">
      <c r="A18" s="128"/>
      <c r="B18" s="129" t="s">
        <v>407</v>
      </c>
      <c r="C18" s="102" t="s">
        <v>408</v>
      </c>
      <c r="D18" s="450">
        <v>6536306</v>
      </c>
      <c r="E18" s="450">
        <f>SUM(F18,L18)</f>
        <v>18539627</v>
      </c>
      <c r="F18" s="453">
        <f>4752661+156360</f>
        <v>4909021</v>
      </c>
      <c r="G18" s="453">
        <v>783514</v>
      </c>
      <c r="H18" s="453">
        <v>135552</v>
      </c>
      <c r="I18" s="453">
        <v>149000</v>
      </c>
      <c r="J18" s="453">
        <v>0</v>
      </c>
      <c r="K18" s="453">
        <v>0</v>
      </c>
      <c r="L18" s="590">
        <v>13630606</v>
      </c>
      <c r="M18" s="590">
        <v>0</v>
      </c>
    </row>
    <row r="19" spans="1:13" s="45" customFormat="1" ht="14.25" customHeight="1">
      <c r="A19" s="105" t="s">
        <v>18</v>
      </c>
      <c r="B19" s="105"/>
      <c r="C19" s="100" t="s">
        <v>38</v>
      </c>
      <c r="D19" s="449">
        <f t="shared" si="2"/>
        <v>0</v>
      </c>
      <c r="E19" s="449">
        <f t="shared" si="2"/>
        <v>101270</v>
      </c>
      <c r="F19" s="449">
        <f t="shared" si="2"/>
        <v>0</v>
      </c>
      <c r="G19" s="449">
        <f t="shared" si="2"/>
        <v>0</v>
      </c>
      <c r="H19" s="449">
        <f t="shared" si="2"/>
        <v>0</v>
      </c>
      <c r="I19" s="449">
        <f t="shared" si="2"/>
        <v>0</v>
      </c>
      <c r="J19" s="449">
        <f t="shared" si="2"/>
        <v>0</v>
      </c>
      <c r="K19" s="449">
        <f t="shared" si="2"/>
        <v>0</v>
      </c>
      <c r="L19" s="449">
        <f t="shared" si="2"/>
        <v>101270</v>
      </c>
      <c r="M19" s="449">
        <f t="shared" si="2"/>
        <v>101270</v>
      </c>
    </row>
    <row r="20" spans="1:13" s="45" customFormat="1" ht="24.75" customHeight="1">
      <c r="A20" s="128"/>
      <c r="B20" s="129" t="s">
        <v>19</v>
      </c>
      <c r="C20" s="102" t="s">
        <v>39</v>
      </c>
      <c r="D20" s="450">
        <v>0</v>
      </c>
      <c r="E20" s="450">
        <f>SUM(F20,L20)</f>
        <v>101270</v>
      </c>
      <c r="F20" s="453">
        <v>0</v>
      </c>
      <c r="G20" s="453">
        <v>0</v>
      </c>
      <c r="H20" s="453">
        <v>0</v>
      </c>
      <c r="I20" s="453">
        <v>0</v>
      </c>
      <c r="J20" s="453">
        <v>0</v>
      </c>
      <c r="K20" s="453">
        <v>0</v>
      </c>
      <c r="L20" s="453">
        <v>101270</v>
      </c>
      <c r="M20" s="453">
        <v>101270</v>
      </c>
    </row>
    <row r="21" spans="1:13" s="45" customFormat="1" ht="26.25" customHeight="1">
      <c r="A21" s="105" t="s">
        <v>411</v>
      </c>
      <c r="B21" s="105"/>
      <c r="C21" s="100" t="s">
        <v>412</v>
      </c>
      <c r="D21" s="449">
        <f aca="true" t="shared" si="3" ref="D21:M21">SUM(D22)</f>
        <v>191439</v>
      </c>
      <c r="E21" s="449">
        <f t="shared" si="3"/>
        <v>139395</v>
      </c>
      <c r="F21" s="452">
        <f t="shared" si="3"/>
        <v>139395</v>
      </c>
      <c r="G21" s="452">
        <f t="shared" si="3"/>
        <v>0</v>
      </c>
      <c r="H21" s="452">
        <f t="shared" si="3"/>
        <v>0</v>
      </c>
      <c r="I21" s="452">
        <f t="shared" si="3"/>
        <v>0</v>
      </c>
      <c r="J21" s="452">
        <f t="shared" si="3"/>
        <v>0</v>
      </c>
      <c r="K21" s="452">
        <f t="shared" si="3"/>
        <v>0</v>
      </c>
      <c r="L21" s="452">
        <f t="shared" si="3"/>
        <v>0</v>
      </c>
      <c r="M21" s="452">
        <f t="shared" si="3"/>
        <v>0</v>
      </c>
    </row>
    <row r="22" spans="1:13" s="45" customFormat="1" ht="24" customHeight="1">
      <c r="A22" s="105"/>
      <c r="B22" s="105" t="s">
        <v>413</v>
      </c>
      <c r="C22" s="102" t="s">
        <v>414</v>
      </c>
      <c r="D22" s="450">
        <v>191439</v>
      </c>
      <c r="E22" s="450">
        <f>SUM(F22,L22)</f>
        <v>139395</v>
      </c>
      <c r="F22" s="453">
        <v>139395</v>
      </c>
      <c r="G22" s="453">
        <v>0</v>
      </c>
      <c r="H22" s="453">
        <v>0</v>
      </c>
      <c r="I22" s="453">
        <v>0</v>
      </c>
      <c r="J22" s="453">
        <v>0</v>
      </c>
      <c r="K22" s="453">
        <v>0</v>
      </c>
      <c r="L22" s="453">
        <v>0</v>
      </c>
      <c r="M22" s="453">
        <v>0</v>
      </c>
    </row>
    <row r="23" spans="1:13" s="45" customFormat="1" ht="25.5">
      <c r="A23" s="128" t="s">
        <v>419</v>
      </c>
      <c r="B23" s="105"/>
      <c r="C23" s="100" t="s">
        <v>420</v>
      </c>
      <c r="D23" s="449">
        <f>SUM(D24,D25,D26,D27)</f>
        <v>337211</v>
      </c>
      <c r="E23" s="449">
        <f>SUM(E24,E25,E26,E27)</f>
        <v>338543</v>
      </c>
      <c r="F23" s="452">
        <f aca="true" t="shared" si="4" ref="F23:M23">SUM(F24,F25,F26,F27)</f>
        <v>338543</v>
      </c>
      <c r="G23" s="452">
        <f t="shared" si="4"/>
        <v>208748</v>
      </c>
      <c r="H23" s="452">
        <f t="shared" si="4"/>
        <v>37418</v>
      </c>
      <c r="I23" s="452">
        <f t="shared" si="4"/>
        <v>0</v>
      </c>
      <c r="J23" s="452">
        <f t="shared" si="4"/>
        <v>0</v>
      </c>
      <c r="K23" s="452">
        <f t="shared" si="4"/>
        <v>0</v>
      </c>
      <c r="L23" s="452">
        <f t="shared" si="4"/>
        <v>0</v>
      </c>
      <c r="M23" s="452">
        <f t="shared" si="4"/>
        <v>0</v>
      </c>
    </row>
    <row r="24" spans="1:13" s="45" customFormat="1" ht="22.5" customHeight="1">
      <c r="A24" s="128"/>
      <c r="B24" s="129" t="s">
        <v>421</v>
      </c>
      <c r="C24" s="102" t="s">
        <v>422</v>
      </c>
      <c r="D24" s="450">
        <v>40000</v>
      </c>
      <c r="E24" s="450">
        <f>SUM(F24,L24)</f>
        <v>35000</v>
      </c>
      <c r="F24" s="453">
        <v>35000</v>
      </c>
      <c r="G24" s="453">
        <v>0</v>
      </c>
      <c r="H24" s="453">
        <v>0</v>
      </c>
      <c r="I24" s="453">
        <v>0</v>
      </c>
      <c r="J24" s="453">
        <v>0</v>
      </c>
      <c r="K24" s="453">
        <v>0</v>
      </c>
      <c r="L24" s="453">
        <v>0</v>
      </c>
      <c r="M24" s="453">
        <v>0</v>
      </c>
    </row>
    <row r="25" spans="1:13" s="45" customFormat="1" ht="24.75" customHeight="1">
      <c r="A25" s="127"/>
      <c r="B25" s="129" t="s">
        <v>423</v>
      </c>
      <c r="C25" s="102" t="s">
        <v>424</v>
      </c>
      <c r="D25" s="450">
        <v>8000</v>
      </c>
      <c r="E25" s="450">
        <f>SUM(F25,L25)</f>
        <v>10000</v>
      </c>
      <c r="F25" s="453">
        <v>10000</v>
      </c>
      <c r="G25" s="453">
        <v>0</v>
      </c>
      <c r="H25" s="453">
        <v>0</v>
      </c>
      <c r="I25" s="453">
        <v>0</v>
      </c>
      <c r="J25" s="453">
        <v>0</v>
      </c>
      <c r="K25" s="453">
        <v>0</v>
      </c>
      <c r="L25" s="453">
        <v>0</v>
      </c>
      <c r="M25" s="453">
        <v>0</v>
      </c>
    </row>
    <row r="26" spans="1:13" s="45" customFormat="1" ht="13.5" customHeight="1">
      <c r="A26" s="134"/>
      <c r="B26" s="129" t="s">
        <v>425</v>
      </c>
      <c r="C26" s="102" t="s">
        <v>426</v>
      </c>
      <c r="D26" s="450">
        <v>289211</v>
      </c>
      <c r="E26" s="450">
        <f aca="true" t="shared" si="5" ref="E26:E35">SUM(F26,L26)</f>
        <v>292543</v>
      </c>
      <c r="F26" s="453">
        <v>292543</v>
      </c>
      <c r="G26" s="453">
        <v>208748</v>
      </c>
      <c r="H26" s="453">
        <v>37418</v>
      </c>
      <c r="I26" s="453">
        <v>0</v>
      </c>
      <c r="J26" s="453">
        <v>0</v>
      </c>
      <c r="K26" s="453">
        <v>0</v>
      </c>
      <c r="L26" s="453">
        <v>0</v>
      </c>
      <c r="M26" s="453">
        <v>0</v>
      </c>
    </row>
    <row r="27" spans="1:13" s="45" customFormat="1" ht="13.5" customHeight="1">
      <c r="A27" s="105" t="s">
        <v>419</v>
      </c>
      <c r="B27" s="129" t="s">
        <v>519</v>
      </c>
      <c r="C27" s="102" t="s">
        <v>520</v>
      </c>
      <c r="D27" s="450">
        <v>0</v>
      </c>
      <c r="E27" s="450">
        <f t="shared" si="5"/>
        <v>1000</v>
      </c>
      <c r="F27" s="453">
        <v>1000</v>
      </c>
      <c r="G27" s="453">
        <v>0</v>
      </c>
      <c r="H27" s="453">
        <v>0</v>
      </c>
      <c r="I27" s="453">
        <v>0</v>
      </c>
      <c r="J27" s="453">
        <v>0</v>
      </c>
      <c r="K27" s="453">
        <v>0</v>
      </c>
      <c r="L27" s="453">
        <v>0</v>
      </c>
      <c r="M27" s="453">
        <v>0</v>
      </c>
    </row>
    <row r="28" spans="1:13" s="45" customFormat="1" ht="24.75" customHeight="1">
      <c r="A28" s="127" t="s">
        <v>428</v>
      </c>
      <c r="B28" s="105"/>
      <c r="C28" s="100" t="s">
        <v>429</v>
      </c>
      <c r="D28" s="449">
        <f>SUM(D29:D35)</f>
        <v>7396650</v>
      </c>
      <c r="E28" s="449">
        <f aca="true" t="shared" si="6" ref="E28:M28">SUM(E29:E35)</f>
        <v>7455829</v>
      </c>
      <c r="F28" s="449">
        <f t="shared" si="6"/>
        <v>7010329</v>
      </c>
      <c r="G28" s="449">
        <f t="shared" si="6"/>
        <v>3524254</v>
      </c>
      <c r="H28" s="449">
        <f t="shared" si="6"/>
        <v>607462</v>
      </c>
      <c r="I28" s="449">
        <f t="shared" si="6"/>
        <v>8500</v>
      </c>
      <c r="J28" s="449">
        <f t="shared" si="6"/>
        <v>0</v>
      </c>
      <c r="K28" s="449">
        <f t="shared" si="6"/>
        <v>0</v>
      </c>
      <c r="L28" s="449">
        <f t="shared" si="6"/>
        <v>445500</v>
      </c>
      <c r="M28" s="449">
        <f t="shared" si="6"/>
        <v>0</v>
      </c>
    </row>
    <row r="29" spans="1:13" s="45" customFormat="1" ht="14.25" customHeight="1">
      <c r="A29" s="128"/>
      <c r="B29" s="129" t="s">
        <v>430</v>
      </c>
      <c r="C29" s="102" t="s">
        <v>431</v>
      </c>
      <c r="D29" s="450">
        <v>335429</v>
      </c>
      <c r="E29" s="450">
        <f t="shared" si="5"/>
        <v>337310</v>
      </c>
      <c r="F29" s="453">
        <v>337310</v>
      </c>
      <c r="G29" s="453">
        <v>270817</v>
      </c>
      <c r="H29" s="453">
        <v>47772</v>
      </c>
      <c r="I29" s="453">
        <v>0</v>
      </c>
      <c r="J29" s="453">
        <v>0</v>
      </c>
      <c r="K29" s="453">
        <v>0</v>
      </c>
      <c r="L29" s="453">
        <v>0</v>
      </c>
      <c r="M29" s="453">
        <v>0</v>
      </c>
    </row>
    <row r="30" spans="1:13" s="45" customFormat="1" ht="14.25" customHeight="1">
      <c r="A30" s="127"/>
      <c r="B30" s="129" t="s">
        <v>521</v>
      </c>
      <c r="C30" s="102" t="s">
        <v>522</v>
      </c>
      <c r="D30" s="450">
        <v>5230</v>
      </c>
      <c r="E30" s="450">
        <f t="shared" si="5"/>
        <v>6000</v>
      </c>
      <c r="F30" s="453">
        <v>6000</v>
      </c>
      <c r="G30" s="453">
        <v>0</v>
      </c>
      <c r="H30" s="453">
        <v>0</v>
      </c>
      <c r="I30" s="453">
        <v>6000</v>
      </c>
      <c r="J30" s="453">
        <v>0</v>
      </c>
      <c r="K30" s="453">
        <v>0</v>
      </c>
      <c r="L30" s="453">
        <v>0</v>
      </c>
      <c r="M30" s="453">
        <v>0</v>
      </c>
    </row>
    <row r="31" spans="1:13" s="45" customFormat="1" ht="14.25" customHeight="1">
      <c r="A31" s="127"/>
      <c r="B31" s="129" t="s">
        <v>523</v>
      </c>
      <c r="C31" s="102" t="s">
        <v>524</v>
      </c>
      <c r="D31" s="450">
        <v>314892</v>
      </c>
      <c r="E31" s="450">
        <f t="shared" si="5"/>
        <v>292876</v>
      </c>
      <c r="F31" s="453">
        <v>292876</v>
      </c>
      <c r="G31" s="453">
        <v>500</v>
      </c>
      <c r="H31" s="453">
        <v>0</v>
      </c>
      <c r="I31" s="453">
        <v>0</v>
      </c>
      <c r="J31" s="453">
        <v>0</v>
      </c>
      <c r="K31" s="453">
        <v>0</v>
      </c>
      <c r="L31" s="453">
        <v>0</v>
      </c>
      <c r="M31" s="453">
        <v>0</v>
      </c>
    </row>
    <row r="32" spans="1:13" s="45" customFormat="1" ht="14.25" customHeight="1">
      <c r="A32" s="127"/>
      <c r="B32" s="129" t="s">
        <v>432</v>
      </c>
      <c r="C32" s="102" t="s">
        <v>433</v>
      </c>
      <c r="D32" s="450">
        <v>6634099</v>
      </c>
      <c r="E32" s="450">
        <f t="shared" si="5"/>
        <v>6667143</v>
      </c>
      <c r="F32" s="453">
        <f>6667143-448500+3000</f>
        <v>6221643</v>
      </c>
      <c r="G32" s="453">
        <v>3240387</v>
      </c>
      <c r="H32" s="453">
        <v>557830</v>
      </c>
      <c r="I32" s="453">
        <v>0</v>
      </c>
      <c r="J32" s="453">
        <v>0</v>
      </c>
      <c r="K32" s="453">
        <v>0</v>
      </c>
      <c r="L32" s="453">
        <f>448500-3000</f>
        <v>445500</v>
      </c>
      <c r="M32" s="453">
        <v>0</v>
      </c>
    </row>
    <row r="33" spans="1:13" s="45" customFormat="1" ht="14.25" customHeight="1">
      <c r="A33" s="127"/>
      <c r="B33" s="129" t="s">
        <v>444</v>
      </c>
      <c r="C33" s="102" t="s">
        <v>445</v>
      </c>
      <c r="D33" s="450">
        <v>28000</v>
      </c>
      <c r="E33" s="450">
        <f t="shared" si="5"/>
        <v>29000</v>
      </c>
      <c r="F33" s="453">
        <v>29000</v>
      </c>
      <c r="G33" s="453">
        <v>12550</v>
      </c>
      <c r="H33" s="453">
        <v>1860</v>
      </c>
      <c r="I33" s="453">
        <v>0</v>
      </c>
      <c r="J33" s="453">
        <v>0</v>
      </c>
      <c r="K33" s="453">
        <v>0</v>
      </c>
      <c r="L33" s="453">
        <v>0</v>
      </c>
      <c r="M33" s="453">
        <v>0</v>
      </c>
    </row>
    <row r="34" spans="1:13" s="45" customFormat="1" ht="24" customHeight="1">
      <c r="A34" s="127"/>
      <c r="B34" s="129" t="s">
        <v>646</v>
      </c>
      <c r="C34" s="102" t="s">
        <v>232</v>
      </c>
      <c r="D34" s="450">
        <v>68000</v>
      </c>
      <c r="E34" s="450">
        <f t="shared" si="5"/>
        <v>110500</v>
      </c>
      <c r="F34" s="453">
        <v>110500</v>
      </c>
      <c r="G34" s="453">
        <v>0</v>
      </c>
      <c r="H34" s="453">
        <v>0</v>
      </c>
      <c r="I34" s="453">
        <v>0</v>
      </c>
      <c r="J34" s="453">
        <v>0</v>
      </c>
      <c r="K34" s="453">
        <v>0</v>
      </c>
      <c r="L34" s="453">
        <v>0</v>
      </c>
      <c r="M34" s="453">
        <v>0</v>
      </c>
    </row>
    <row r="35" spans="1:13" s="45" customFormat="1" ht="14.25" customHeight="1">
      <c r="A35" s="134"/>
      <c r="B35" s="135" t="s">
        <v>525</v>
      </c>
      <c r="C35" s="112" t="s">
        <v>501</v>
      </c>
      <c r="D35" s="451">
        <v>11000</v>
      </c>
      <c r="E35" s="451">
        <f t="shared" si="5"/>
        <v>13000</v>
      </c>
      <c r="F35" s="454">
        <v>13000</v>
      </c>
      <c r="G35" s="454">
        <v>0</v>
      </c>
      <c r="H35" s="454">
        <v>0</v>
      </c>
      <c r="I35" s="454">
        <v>2500</v>
      </c>
      <c r="J35" s="454">
        <v>0</v>
      </c>
      <c r="K35" s="454">
        <v>0</v>
      </c>
      <c r="L35" s="453">
        <v>0</v>
      </c>
      <c r="M35" s="453">
        <v>0</v>
      </c>
    </row>
    <row r="36" spans="1:13" s="45" customFormat="1" ht="39" customHeight="1">
      <c r="A36" s="128" t="s">
        <v>446</v>
      </c>
      <c r="B36" s="105"/>
      <c r="C36" s="100" t="s">
        <v>447</v>
      </c>
      <c r="D36" s="449">
        <f>SUM(D37:D41)</f>
        <v>3381508</v>
      </c>
      <c r="E36" s="449">
        <f aca="true" t="shared" si="7" ref="E36:M36">SUM(E37:E41)</f>
        <v>3854971</v>
      </c>
      <c r="F36" s="449">
        <f t="shared" si="7"/>
        <v>3264971</v>
      </c>
      <c r="G36" s="449">
        <f t="shared" si="7"/>
        <v>2564874</v>
      </c>
      <c r="H36" s="449">
        <f t="shared" si="7"/>
        <v>13294</v>
      </c>
      <c r="I36" s="449">
        <f t="shared" si="7"/>
        <v>8000</v>
      </c>
      <c r="J36" s="449">
        <f t="shared" si="7"/>
        <v>0</v>
      </c>
      <c r="K36" s="449">
        <f t="shared" si="7"/>
        <v>0</v>
      </c>
      <c r="L36" s="449">
        <f t="shared" si="7"/>
        <v>590000</v>
      </c>
      <c r="M36" s="449">
        <f t="shared" si="7"/>
        <v>0</v>
      </c>
    </row>
    <row r="37" spans="1:13" s="45" customFormat="1" ht="19.5" customHeight="1">
      <c r="A37" s="128"/>
      <c r="B37" s="129" t="s">
        <v>81</v>
      </c>
      <c r="C37" s="102" t="s">
        <v>111</v>
      </c>
      <c r="D37" s="455">
        <v>0</v>
      </c>
      <c r="E37" s="450">
        <f>SUM(F37,L37)</f>
        <v>2500</v>
      </c>
      <c r="F37" s="455">
        <v>2500</v>
      </c>
      <c r="G37" s="455">
        <v>0</v>
      </c>
      <c r="H37" s="455">
        <v>0</v>
      </c>
      <c r="I37" s="455">
        <v>0</v>
      </c>
      <c r="J37" s="455">
        <v>0</v>
      </c>
      <c r="K37" s="455">
        <v>0</v>
      </c>
      <c r="L37" s="455">
        <v>0</v>
      </c>
      <c r="M37" s="455">
        <v>0</v>
      </c>
    </row>
    <row r="38" spans="1:13" s="45" customFormat="1" ht="23.25" customHeight="1">
      <c r="A38" s="127"/>
      <c r="B38" s="129" t="s">
        <v>448</v>
      </c>
      <c r="C38" s="102" t="s">
        <v>526</v>
      </c>
      <c r="D38" s="450">
        <v>3328817</v>
      </c>
      <c r="E38" s="450">
        <f aca="true" t="shared" si="8" ref="E38:E57">SUM(F38,L38)</f>
        <v>3806500</v>
      </c>
      <c r="F38" s="453">
        <v>3226500</v>
      </c>
      <c r="G38" s="453">
        <v>2547730</v>
      </c>
      <c r="H38" s="453">
        <v>10270</v>
      </c>
      <c r="I38" s="453">
        <v>0</v>
      </c>
      <c r="J38" s="453">
        <v>0</v>
      </c>
      <c r="K38" s="453">
        <v>0</v>
      </c>
      <c r="L38" s="453">
        <v>580000</v>
      </c>
      <c r="M38" s="453">
        <v>0</v>
      </c>
    </row>
    <row r="39" spans="1:13" s="45" customFormat="1" ht="12.75">
      <c r="A39" s="127"/>
      <c r="B39" s="129" t="s">
        <v>451</v>
      </c>
      <c r="C39" s="102" t="s">
        <v>452</v>
      </c>
      <c r="D39" s="450">
        <v>6600</v>
      </c>
      <c r="E39" s="450">
        <f t="shared" si="8"/>
        <v>16800</v>
      </c>
      <c r="F39" s="453">
        <v>6800</v>
      </c>
      <c r="G39" s="453">
        <v>0</v>
      </c>
      <c r="H39" s="453">
        <v>0</v>
      </c>
      <c r="I39" s="453">
        <v>0</v>
      </c>
      <c r="J39" s="453">
        <v>0</v>
      </c>
      <c r="K39" s="453">
        <v>0</v>
      </c>
      <c r="L39" s="453">
        <v>10000</v>
      </c>
      <c r="M39" s="453">
        <v>0</v>
      </c>
    </row>
    <row r="40" spans="1:13" s="45" customFormat="1" ht="24">
      <c r="A40" s="127"/>
      <c r="B40" s="129" t="s">
        <v>527</v>
      </c>
      <c r="C40" s="102" t="s">
        <v>528</v>
      </c>
      <c r="D40" s="450">
        <v>5000</v>
      </c>
      <c r="E40" s="450">
        <f t="shared" si="8"/>
        <v>8000</v>
      </c>
      <c r="F40" s="453">
        <v>8000</v>
      </c>
      <c r="G40" s="453">
        <v>0</v>
      </c>
      <c r="H40" s="453">
        <v>0</v>
      </c>
      <c r="I40" s="453">
        <v>8000</v>
      </c>
      <c r="J40" s="453">
        <v>0</v>
      </c>
      <c r="K40" s="453">
        <v>0</v>
      </c>
      <c r="L40" s="453">
        <v>0</v>
      </c>
      <c r="M40" s="453">
        <v>0</v>
      </c>
    </row>
    <row r="41" spans="1:13" s="45" customFormat="1" ht="12.75">
      <c r="A41" s="134"/>
      <c r="B41" s="129" t="s">
        <v>8</v>
      </c>
      <c r="C41" s="102" t="s">
        <v>9</v>
      </c>
      <c r="D41" s="450">
        <v>41091</v>
      </c>
      <c r="E41" s="450">
        <f>SUM(F41)</f>
        <v>21171</v>
      </c>
      <c r="F41" s="453">
        <v>21171</v>
      </c>
      <c r="G41" s="453">
        <v>17144</v>
      </c>
      <c r="H41" s="453">
        <v>3024</v>
      </c>
      <c r="I41" s="453">
        <v>0</v>
      </c>
      <c r="J41" s="453">
        <v>0</v>
      </c>
      <c r="K41" s="453">
        <v>0</v>
      </c>
      <c r="L41" s="453">
        <v>0</v>
      </c>
      <c r="M41" s="453">
        <v>0</v>
      </c>
    </row>
    <row r="42" spans="1:13" s="45" customFormat="1" ht="27" customHeight="1">
      <c r="A42" s="127" t="s">
        <v>529</v>
      </c>
      <c r="B42" s="105"/>
      <c r="C42" s="100" t="s">
        <v>530</v>
      </c>
      <c r="D42" s="449">
        <f>SUM(D43)</f>
        <v>1611684</v>
      </c>
      <c r="E42" s="449">
        <f aca="true" t="shared" si="9" ref="E42:M42">SUM(E43)</f>
        <v>2000000</v>
      </c>
      <c r="F42" s="449">
        <f t="shared" si="9"/>
        <v>2000000</v>
      </c>
      <c r="G42" s="449">
        <f t="shared" si="9"/>
        <v>0</v>
      </c>
      <c r="H42" s="449">
        <f t="shared" si="9"/>
        <v>0</v>
      </c>
      <c r="I42" s="449">
        <f t="shared" si="9"/>
        <v>0</v>
      </c>
      <c r="J42" s="449">
        <f t="shared" si="9"/>
        <v>2000000</v>
      </c>
      <c r="K42" s="449">
        <f t="shared" si="9"/>
        <v>0</v>
      </c>
      <c r="L42" s="449">
        <f t="shared" si="9"/>
        <v>0</v>
      </c>
      <c r="M42" s="449">
        <f t="shared" si="9"/>
        <v>0</v>
      </c>
    </row>
    <row r="43" spans="1:13" s="45" customFormat="1" ht="37.5" customHeight="1">
      <c r="A43" s="128"/>
      <c r="B43" s="129" t="s">
        <v>531</v>
      </c>
      <c r="C43" s="102" t="s">
        <v>532</v>
      </c>
      <c r="D43" s="450">
        <v>1611684</v>
      </c>
      <c r="E43" s="450">
        <f t="shared" si="8"/>
        <v>2000000</v>
      </c>
      <c r="F43" s="453">
        <v>2000000</v>
      </c>
      <c r="G43" s="453">
        <v>0</v>
      </c>
      <c r="H43" s="453">
        <v>0</v>
      </c>
      <c r="I43" s="453">
        <v>0</v>
      </c>
      <c r="J43" s="453">
        <v>2000000</v>
      </c>
      <c r="K43" s="453">
        <v>0</v>
      </c>
      <c r="L43" s="453">
        <v>0</v>
      </c>
      <c r="M43" s="453">
        <v>0</v>
      </c>
    </row>
    <row r="44" spans="1:13" s="45" customFormat="1" ht="15" customHeight="1">
      <c r="A44" s="105" t="s">
        <v>460</v>
      </c>
      <c r="B44" s="105"/>
      <c r="C44" s="100" t="s">
        <v>461</v>
      </c>
      <c r="D44" s="449">
        <f>SUM(D45:D45)</f>
        <v>0</v>
      </c>
      <c r="E44" s="449">
        <f>SUM(E45:E45)</f>
        <v>2689601</v>
      </c>
      <c r="F44" s="452">
        <f aca="true" t="shared" si="10" ref="F44:M44">SUM(F45:F45)</f>
        <v>2689601</v>
      </c>
      <c r="G44" s="452">
        <f t="shared" si="10"/>
        <v>0</v>
      </c>
      <c r="H44" s="452">
        <f t="shared" si="10"/>
        <v>0</v>
      </c>
      <c r="I44" s="452">
        <f t="shared" si="10"/>
        <v>0</v>
      </c>
      <c r="J44" s="452">
        <f t="shared" si="10"/>
        <v>0</v>
      </c>
      <c r="K44" s="452">
        <f t="shared" si="10"/>
        <v>0</v>
      </c>
      <c r="L44" s="452">
        <f t="shared" si="10"/>
        <v>0</v>
      </c>
      <c r="M44" s="452">
        <f t="shared" si="10"/>
        <v>0</v>
      </c>
    </row>
    <row r="45" spans="1:13" s="45" customFormat="1" ht="15" customHeight="1">
      <c r="A45" s="105"/>
      <c r="B45" s="105" t="s">
        <v>533</v>
      </c>
      <c r="C45" s="102" t="s">
        <v>534</v>
      </c>
      <c r="D45" s="450">
        <v>0</v>
      </c>
      <c r="E45" s="450">
        <v>2689601</v>
      </c>
      <c r="F45" s="450">
        <v>2689601</v>
      </c>
      <c r="G45" s="453">
        <v>0</v>
      </c>
      <c r="H45" s="453">
        <v>0</v>
      </c>
      <c r="I45" s="453">
        <v>0</v>
      </c>
      <c r="J45" s="453">
        <v>0</v>
      </c>
      <c r="K45" s="453">
        <v>0</v>
      </c>
      <c r="L45" s="453">
        <v>0</v>
      </c>
      <c r="M45" s="453">
        <v>0</v>
      </c>
    </row>
    <row r="46" spans="1:13" s="179" customFormat="1" ht="16.5" customHeight="1">
      <c r="A46" s="128" t="s">
        <v>472</v>
      </c>
      <c r="B46" s="105"/>
      <c r="C46" s="100" t="s">
        <v>473</v>
      </c>
      <c r="D46" s="449">
        <f>SUM(D47:D57)</f>
        <v>29018482</v>
      </c>
      <c r="E46" s="449">
        <f>SUM(E47:E57)</f>
        <v>29741998</v>
      </c>
      <c r="F46" s="449">
        <f aca="true" t="shared" si="11" ref="F46:M46">SUM(F47:F57)</f>
        <v>28234998</v>
      </c>
      <c r="G46" s="449">
        <f t="shared" si="11"/>
        <v>18604335</v>
      </c>
      <c r="H46" s="449">
        <f t="shared" si="11"/>
        <v>3371972</v>
      </c>
      <c r="I46" s="449">
        <f t="shared" si="11"/>
        <v>695028</v>
      </c>
      <c r="J46" s="449">
        <f t="shared" si="11"/>
        <v>0</v>
      </c>
      <c r="K46" s="449">
        <f t="shared" si="11"/>
        <v>0</v>
      </c>
      <c r="L46" s="449">
        <f t="shared" si="11"/>
        <v>1507000</v>
      </c>
      <c r="M46" s="449">
        <f t="shared" si="11"/>
        <v>0</v>
      </c>
    </row>
    <row r="47" spans="1:13" s="179" customFormat="1" ht="22.5" customHeight="1">
      <c r="A47" s="128"/>
      <c r="B47" s="129" t="s">
        <v>535</v>
      </c>
      <c r="C47" s="102" t="s">
        <v>536</v>
      </c>
      <c r="D47" s="450">
        <v>2017083</v>
      </c>
      <c r="E47" s="450">
        <f t="shared" si="8"/>
        <v>1998460</v>
      </c>
      <c r="F47" s="453">
        <v>1998460</v>
      </c>
      <c r="G47" s="453">
        <v>1529685</v>
      </c>
      <c r="H47" s="453">
        <v>272719</v>
      </c>
      <c r="I47" s="453">
        <v>0</v>
      </c>
      <c r="J47" s="453">
        <v>0</v>
      </c>
      <c r="K47" s="453">
        <v>0</v>
      </c>
      <c r="L47" s="453">
        <v>0</v>
      </c>
      <c r="M47" s="453">
        <v>0</v>
      </c>
    </row>
    <row r="48" spans="1:13" s="179" customFormat="1" ht="14.25" customHeight="1">
      <c r="A48" s="137"/>
      <c r="B48" s="129" t="s">
        <v>537</v>
      </c>
      <c r="C48" s="102" t="s">
        <v>538</v>
      </c>
      <c r="D48" s="450">
        <v>563867</v>
      </c>
      <c r="E48" s="450">
        <f t="shared" si="8"/>
        <v>584621</v>
      </c>
      <c r="F48" s="453">
        <v>584621</v>
      </c>
      <c r="G48" s="453">
        <v>430099</v>
      </c>
      <c r="H48" s="453">
        <v>77031</v>
      </c>
      <c r="I48" s="453">
        <v>0</v>
      </c>
      <c r="J48" s="453">
        <v>0</v>
      </c>
      <c r="K48" s="453">
        <v>0</v>
      </c>
      <c r="L48" s="453">
        <v>0</v>
      </c>
      <c r="M48" s="453">
        <v>0</v>
      </c>
    </row>
    <row r="49" spans="1:13" s="179" customFormat="1" ht="14.25" customHeight="1">
      <c r="A49" s="105" t="s">
        <v>472</v>
      </c>
      <c r="B49" s="129" t="s">
        <v>539</v>
      </c>
      <c r="C49" s="102" t="s">
        <v>540</v>
      </c>
      <c r="D49" s="450">
        <v>1543478</v>
      </c>
      <c r="E49" s="450">
        <f t="shared" si="8"/>
        <v>1466143</v>
      </c>
      <c r="F49" s="453">
        <v>1466143</v>
      </c>
      <c r="G49" s="453">
        <v>1117779</v>
      </c>
      <c r="H49" s="453">
        <v>199499</v>
      </c>
      <c r="I49" s="453">
        <v>0</v>
      </c>
      <c r="J49" s="453">
        <v>0</v>
      </c>
      <c r="K49" s="453">
        <v>0</v>
      </c>
      <c r="L49" s="453">
        <v>0</v>
      </c>
      <c r="M49" s="453">
        <v>0</v>
      </c>
    </row>
    <row r="50" spans="1:13" s="179" customFormat="1" ht="14.25" customHeight="1">
      <c r="A50" s="138"/>
      <c r="B50" s="135" t="s">
        <v>474</v>
      </c>
      <c r="C50" s="112" t="s">
        <v>541</v>
      </c>
      <c r="D50" s="451">
        <v>6977282</v>
      </c>
      <c r="E50" s="451">
        <f t="shared" si="8"/>
        <v>6712517</v>
      </c>
      <c r="F50" s="454">
        <v>6712517</v>
      </c>
      <c r="G50" s="454">
        <v>4810293</v>
      </c>
      <c r="H50" s="454">
        <v>857941</v>
      </c>
      <c r="I50" s="454">
        <v>68772</v>
      </c>
      <c r="J50" s="454">
        <v>0</v>
      </c>
      <c r="K50" s="454">
        <v>0</v>
      </c>
      <c r="L50" s="454">
        <v>0</v>
      </c>
      <c r="M50" s="454">
        <v>0</v>
      </c>
    </row>
    <row r="51" spans="1:13" s="179" customFormat="1" ht="14.25" customHeight="1">
      <c r="A51" s="138"/>
      <c r="B51" s="129" t="s">
        <v>542</v>
      </c>
      <c r="C51" s="102" t="s">
        <v>543</v>
      </c>
      <c r="D51" s="450">
        <v>509375</v>
      </c>
      <c r="E51" s="450">
        <f t="shared" si="8"/>
        <v>388003</v>
      </c>
      <c r="F51" s="453">
        <v>388003</v>
      </c>
      <c r="G51" s="453">
        <v>267385</v>
      </c>
      <c r="H51" s="453">
        <v>47982</v>
      </c>
      <c r="I51" s="453">
        <v>0</v>
      </c>
      <c r="J51" s="453">
        <v>0</v>
      </c>
      <c r="K51" s="453">
        <v>0</v>
      </c>
      <c r="L51" s="453">
        <v>0</v>
      </c>
      <c r="M51" s="453">
        <v>0</v>
      </c>
    </row>
    <row r="52" spans="1:13" s="179" customFormat="1" ht="14.25" customHeight="1">
      <c r="A52" s="138"/>
      <c r="B52" s="230" t="s">
        <v>477</v>
      </c>
      <c r="C52" s="102" t="s">
        <v>478</v>
      </c>
      <c r="D52" s="450">
        <f>12996295+833440</f>
        <v>13829735</v>
      </c>
      <c r="E52" s="450">
        <f t="shared" si="8"/>
        <v>14469657</v>
      </c>
      <c r="F52" s="453">
        <f>14469657-1507000</f>
        <v>12962657</v>
      </c>
      <c r="G52" s="453">
        <v>8551425</v>
      </c>
      <c r="H52" s="453">
        <v>1576434</v>
      </c>
      <c r="I52" s="453">
        <v>626256</v>
      </c>
      <c r="J52" s="453">
        <v>0</v>
      </c>
      <c r="K52" s="453">
        <v>0</v>
      </c>
      <c r="L52" s="453">
        <v>1507000</v>
      </c>
      <c r="M52" s="453">
        <v>0</v>
      </c>
    </row>
    <row r="53" spans="1:13" s="179" customFormat="1" ht="22.5" customHeight="1">
      <c r="A53" s="138"/>
      <c r="B53" s="129" t="s">
        <v>544</v>
      </c>
      <c r="C53" s="102" t="s">
        <v>545</v>
      </c>
      <c r="D53" s="450">
        <v>849701</v>
      </c>
      <c r="E53" s="450">
        <f t="shared" si="8"/>
        <v>1059073</v>
      </c>
      <c r="F53" s="453">
        <v>1059073</v>
      </c>
      <c r="G53" s="453">
        <v>808013</v>
      </c>
      <c r="H53" s="453">
        <v>145269</v>
      </c>
      <c r="I53" s="453">
        <v>0</v>
      </c>
      <c r="J53" s="453">
        <v>0</v>
      </c>
      <c r="K53" s="453">
        <v>0</v>
      </c>
      <c r="L53" s="453">
        <v>0</v>
      </c>
      <c r="M53" s="453">
        <v>0</v>
      </c>
    </row>
    <row r="54" spans="1:13" s="179" customFormat="1" ht="35.25" customHeight="1">
      <c r="A54" s="138"/>
      <c r="B54" s="129" t="s">
        <v>480</v>
      </c>
      <c r="C54" s="102" t="s">
        <v>546</v>
      </c>
      <c r="D54" s="450">
        <v>981002</v>
      </c>
      <c r="E54" s="450">
        <f t="shared" si="8"/>
        <v>1285538</v>
      </c>
      <c r="F54" s="453">
        <v>1285538</v>
      </c>
      <c r="G54" s="453">
        <v>580869</v>
      </c>
      <c r="H54" s="453">
        <v>104246</v>
      </c>
      <c r="I54" s="453">
        <v>0</v>
      </c>
      <c r="J54" s="453">
        <v>0</v>
      </c>
      <c r="K54" s="453">
        <v>0</v>
      </c>
      <c r="L54" s="453">
        <v>0</v>
      </c>
      <c r="M54" s="453">
        <v>0</v>
      </c>
    </row>
    <row r="55" spans="1:13" s="179" customFormat="1" ht="24">
      <c r="A55" s="138"/>
      <c r="B55" s="129" t="s">
        <v>547</v>
      </c>
      <c r="C55" s="102" t="s">
        <v>548</v>
      </c>
      <c r="D55" s="450">
        <v>156118</v>
      </c>
      <c r="E55" s="450">
        <f t="shared" si="8"/>
        <v>167925</v>
      </c>
      <c r="F55" s="450">
        <v>167925</v>
      </c>
      <c r="G55" s="453">
        <v>8691</v>
      </c>
      <c r="H55" s="453">
        <v>1557</v>
      </c>
      <c r="I55" s="453">
        <v>0</v>
      </c>
      <c r="J55" s="453">
        <v>0</v>
      </c>
      <c r="K55" s="453">
        <v>0</v>
      </c>
      <c r="L55" s="453">
        <v>0</v>
      </c>
      <c r="M55" s="453">
        <v>0</v>
      </c>
    </row>
    <row r="56" spans="1:13" s="179" customFormat="1" ht="12.75">
      <c r="A56" s="138"/>
      <c r="B56" s="135" t="s">
        <v>13</v>
      </c>
      <c r="C56" s="112" t="s">
        <v>31</v>
      </c>
      <c r="D56" s="451">
        <v>1279338</v>
      </c>
      <c r="E56" s="450">
        <f t="shared" si="8"/>
        <v>1366890</v>
      </c>
      <c r="F56" s="451">
        <v>1366890</v>
      </c>
      <c r="G56" s="454">
        <v>499712</v>
      </c>
      <c r="H56" s="454">
        <v>89226</v>
      </c>
      <c r="I56" s="454"/>
      <c r="J56" s="454"/>
      <c r="K56" s="454"/>
      <c r="L56" s="454"/>
      <c r="M56" s="454"/>
    </row>
    <row r="57" spans="1:13" s="179" customFormat="1" ht="12.75">
      <c r="A57" s="137"/>
      <c r="B57" s="135" t="s">
        <v>482</v>
      </c>
      <c r="C57" s="112" t="s">
        <v>501</v>
      </c>
      <c r="D57" s="451">
        <v>311503</v>
      </c>
      <c r="E57" s="450">
        <f t="shared" si="8"/>
        <v>243171</v>
      </c>
      <c r="F57" s="454">
        <v>243171</v>
      </c>
      <c r="G57" s="454">
        <v>384</v>
      </c>
      <c r="H57" s="454">
        <v>68</v>
      </c>
      <c r="I57" s="454">
        <v>0</v>
      </c>
      <c r="J57" s="454">
        <v>0</v>
      </c>
      <c r="K57" s="454">
        <v>0</v>
      </c>
      <c r="L57" s="454">
        <v>0</v>
      </c>
      <c r="M57" s="454">
        <v>0</v>
      </c>
    </row>
    <row r="58" spans="1:13" s="45" customFormat="1" ht="16.5" customHeight="1" hidden="1">
      <c r="A58" s="105" t="s">
        <v>630</v>
      </c>
      <c r="B58" s="105"/>
      <c r="C58" s="100" t="s">
        <v>631</v>
      </c>
      <c r="D58" s="449">
        <f>SUM(D59)</f>
        <v>0</v>
      </c>
      <c r="E58" s="449">
        <f>SUM(E59)</f>
        <v>0</v>
      </c>
      <c r="F58" s="452">
        <f aca="true" t="shared" si="12" ref="F58:M58">SUM(F59)</f>
        <v>0</v>
      </c>
      <c r="G58" s="452">
        <f t="shared" si="12"/>
        <v>0</v>
      </c>
      <c r="H58" s="452">
        <f t="shared" si="12"/>
        <v>0</v>
      </c>
      <c r="I58" s="452">
        <f t="shared" si="12"/>
        <v>0</v>
      </c>
      <c r="J58" s="452">
        <f t="shared" si="12"/>
        <v>0</v>
      </c>
      <c r="K58" s="452">
        <f t="shared" si="12"/>
        <v>0</v>
      </c>
      <c r="L58" s="452">
        <f t="shared" si="12"/>
        <v>0</v>
      </c>
      <c r="M58" s="452">
        <f t="shared" si="12"/>
        <v>0</v>
      </c>
    </row>
    <row r="59" spans="1:13" s="45" customFormat="1" ht="14.25" customHeight="1" hidden="1">
      <c r="A59" s="105"/>
      <c r="B59" s="105" t="s">
        <v>632</v>
      </c>
      <c r="C59" s="102" t="s">
        <v>643</v>
      </c>
      <c r="D59" s="450">
        <v>0</v>
      </c>
      <c r="E59" s="450">
        <f>SUM(F59)</f>
        <v>0</v>
      </c>
      <c r="F59" s="453">
        <v>0</v>
      </c>
      <c r="G59" s="453">
        <v>0</v>
      </c>
      <c r="H59" s="453">
        <v>0</v>
      </c>
      <c r="I59" s="453">
        <v>0</v>
      </c>
      <c r="J59" s="453">
        <v>0</v>
      </c>
      <c r="K59" s="453">
        <v>0</v>
      </c>
      <c r="L59" s="453">
        <v>0</v>
      </c>
      <c r="M59" s="453">
        <v>0</v>
      </c>
    </row>
    <row r="60" spans="1:13" s="45" customFormat="1" ht="16.5" customHeight="1">
      <c r="A60" s="128" t="s">
        <v>483</v>
      </c>
      <c r="B60" s="105"/>
      <c r="C60" s="100" t="s">
        <v>484</v>
      </c>
      <c r="D60" s="449">
        <f aca="true" t="shared" si="13" ref="D60:M60">SUM(D61:D65)</f>
        <v>1375716</v>
      </c>
      <c r="E60" s="449">
        <f t="shared" si="13"/>
        <v>1489919</v>
      </c>
      <c r="F60" s="449">
        <f t="shared" si="13"/>
        <v>1169919</v>
      </c>
      <c r="G60" s="449">
        <f t="shared" si="13"/>
        <v>0</v>
      </c>
      <c r="H60" s="449">
        <f t="shared" si="13"/>
        <v>0</v>
      </c>
      <c r="I60" s="449">
        <f t="shared" si="13"/>
        <v>42919</v>
      </c>
      <c r="J60" s="449">
        <f t="shared" si="13"/>
        <v>0</v>
      </c>
      <c r="K60" s="449">
        <f t="shared" si="13"/>
        <v>0</v>
      </c>
      <c r="L60" s="449">
        <f t="shared" si="13"/>
        <v>320000</v>
      </c>
      <c r="M60" s="449">
        <f t="shared" si="13"/>
        <v>320000</v>
      </c>
    </row>
    <row r="61" spans="1:13" s="45" customFormat="1" ht="14.25" customHeight="1">
      <c r="A61" s="128"/>
      <c r="B61" s="129" t="s">
        <v>549</v>
      </c>
      <c r="C61" s="102" t="s">
        <v>550</v>
      </c>
      <c r="D61" s="450">
        <v>199200</v>
      </c>
      <c r="E61" s="450">
        <f aca="true" t="shared" si="14" ref="E61:E67">SUM(F61,L61)</f>
        <v>358419</v>
      </c>
      <c r="F61" s="453">
        <v>38419</v>
      </c>
      <c r="G61" s="453">
        <v>0</v>
      </c>
      <c r="H61" s="453">
        <v>0</v>
      </c>
      <c r="I61" s="453">
        <v>38419</v>
      </c>
      <c r="J61" s="453">
        <v>0</v>
      </c>
      <c r="K61" s="453">
        <v>0</v>
      </c>
      <c r="L61" s="453">
        <v>320000</v>
      </c>
      <c r="M61" s="453">
        <v>320000</v>
      </c>
    </row>
    <row r="62" spans="1:13" s="45" customFormat="1" ht="14.25" customHeight="1">
      <c r="A62" s="127"/>
      <c r="B62" s="129" t="s">
        <v>216</v>
      </c>
      <c r="C62" s="102" t="s">
        <v>701</v>
      </c>
      <c r="D62" s="450">
        <v>0</v>
      </c>
      <c r="E62" s="450">
        <f t="shared" si="14"/>
        <v>0</v>
      </c>
      <c r="F62" s="453">
        <v>0</v>
      </c>
      <c r="G62" s="453">
        <v>0</v>
      </c>
      <c r="H62" s="453">
        <v>0</v>
      </c>
      <c r="I62" s="453">
        <v>0</v>
      </c>
      <c r="J62" s="453">
        <v>0</v>
      </c>
      <c r="K62" s="453">
        <v>0</v>
      </c>
      <c r="L62" s="453">
        <v>0</v>
      </c>
      <c r="M62" s="453">
        <v>0</v>
      </c>
    </row>
    <row r="63" spans="1:13" s="45" customFormat="1" ht="24" hidden="1">
      <c r="A63" s="127"/>
      <c r="B63" s="129" t="s">
        <v>485</v>
      </c>
      <c r="C63" s="102" t="s">
        <v>486</v>
      </c>
      <c r="D63" s="450">
        <v>0</v>
      </c>
      <c r="E63" s="450">
        <f t="shared" si="14"/>
        <v>0</v>
      </c>
      <c r="F63" s="453">
        <v>0</v>
      </c>
      <c r="G63" s="453">
        <v>0</v>
      </c>
      <c r="H63" s="453">
        <v>0</v>
      </c>
      <c r="I63" s="453">
        <v>0</v>
      </c>
      <c r="J63" s="453">
        <v>0</v>
      </c>
      <c r="K63" s="453">
        <v>0</v>
      </c>
      <c r="L63" s="453">
        <v>0</v>
      </c>
      <c r="M63" s="453">
        <v>0</v>
      </c>
    </row>
    <row r="64" spans="1:13" s="45" customFormat="1" ht="63" customHeight="1">
      <c r="A64" s="127"/>
      <c r="B64" s="129" t="s">
        <v>487</v>
      </c>
      <c r="C64" s="102" t="s">
        <v>551</v>
      </c>
      <c r="D64" s="450">
        <v>1170716</v>
      </c>
      <c r="E64" s="450">
        <f t="shared" si="14"/>
        <v>1127000</v>
      </c>
      <c r="F64" s="453">
        <v>1127000</v>
      </c>
      <c r="G64" s="453">
        <v>0</v>
      </c>
      <c r="H64" s="453">
        <v>0</v>
      </c>
      <c r="I64" s="453">
        <v>0</v>
      </c>
      <c r="J64" s="453">
        <v>0</v>
      </c>
      <c r="K64" s="453">
        <v>0</v>
      </c>
      <c r="L64" s="453">
        <v>0</v>
      </c>
      <c r="M64" s="453">
        <v>0</v>
      </c>
    </row>
    <row r="65" spans="1:13" s="45" customFormat="1" ht="12.75">
      <c r="A65" s="137"/>
      <c r="B65" s="129" t="s">
        <v>552</v>
      </c>
      <c r="C65" s="102" t="s">
        <v>501</v>
      </c>
      <c r="D65" s="450">
        <v>5800</v>
      </c>
      <c r="E65" s="450">
        <f t="shared" si="14"/>
        <v>4500</v>
      </c>
      <c r="F65" s="453">
        <v>4500</v>
      </c>
      <c r="G65" s="453">
        <v>0</v>
      </c>
      <c r="H65" s="453">
        <v>0</v>
      </c>
      <c r="I65" s="453">
        <v>4500</v>
      </c>
      <c r="J65" s="453">
        <v>0</v>
      </c>
      <c r="K65" s="453">
        <v>0</v>
      </c>
      <c r="L65" s="453">
        <v>0</v>
      </c>
      <c r="M65" s="453">
        <v>0</v>
      </c>
    </row>
    <row r="66" spans="1:13" s="45" customFormat="1" ht="13.5" customHeight="1">
      <c r="A66" s="127" t="s">
        <v>489</v>
      </c>
      <c r="B66" s="105"/>
      <c r="C66" s="100" t="s">
        <v>553</v>
      </c>
      <c r="D66" s="449">
        <f>SUM(D67:D73)</f>
        <v>8737016</v>
      </c>
      <c r="E66" s="449">
        <f aca="true" t="shared" si="15" ref="E66:M66">SUM(E67:E73)</f>
        <v>9564457</v>
      </c>
      <c r="F66" s="449">
        <f t="shared" si="15"/>
        <v>9564457</v>
      </c>
      <c r="G66" s="449">
        <f t="shared" si="15"/>
        <v>3591441</v>
      </c>
      <c r="H66" s="449">
        <f t="shared" si="15"/>
        <v>627201</v>
      </c>
      <c r="I66" s="449">
        <f t="shared" si="15"/>
        <v>1078996</v>
      </c>
      <c r="J66" s="449">
        <f t="shared" si="15"/>
        <v>0</v>
      </c>
      <c r="K66" s="449">
        <f t="shared" si="15"/>
        <v>0</v>
      </c>
      <c r="L66" s="449">
        <f t="shared" si="15"/>
        <v>0</v>
      </c>
      <c r="M66" s="449">
        <f t="shared" si="15"/>
        <v>0</v>
      </c>
    </row>
    <row r="67" spans="1:13" s="45" customFormat="1" ht="24">
      <c r="A67" s="128"/>
      <c r="B67" s="129" t="s">
        <v>491</v>
      </c>
      <c r="C67" s="102" t="s">
        <v>554</v>
      </c>
      <c r="D67" s="450">
        <v>916814</v>
      </c>
      <c r="E67" s="450">
        <f t="shared" si="14"/>
        <v>1235543</v>
      </c>
      <c r="F67" s="453">
        <v>1235543</v>
      </c>
      <c r="G67" s="453">
        <v>81559</v>
      </c>
      <c r="H67" s="453">
        <v>15032</v>
      </c>
      <c r="I67" s="453">
        <v>955246</v>
      </c>
      <c r="J67" s="453">
        <v>0</v>
      </c>
      <c r="K67" s="453">
        <v>0</v>
      </c>
      <c r="L67" s="453">
        <v>0</v>
      </c>
      <c r="M67" s="453">
        <v>0</v>
      </c>
    </row>
    <row r="68" spans="1:13" s="45" customFormat="1" ht="14.25" customHeight="1">
      <c r="A68" s="127"/>
      <c r="B68" s="129" t="s">
        <v>493</v>
      </c>
      <c r="C68" s="102" t="s">
        <v>494</v>
      </c>
      <c r="D68" s="450">
        <v>4819329</v>
      </c>
      <c r="E68" s="450">
        <f aca="true" t="shared" si="16" ref="E68:E77">SUM(F68,L68)</f>
        <v>4972373</v>
      </c>
      <c r="F68" s="453">
        <v>4972373</v>
      </c>
      <c r="G68" s="453">
        <v>2786829</v>
      </c>
      <c r="H68" s="453">
        <v>489498</v>
      </c>
      <c r="I68" s="453">
        <v>0</v>
      </c>
      <c r="J68" s="453">
        <v>0</v>
      </c>
      <c r="K68" s="453">
        <v>0</v>
      </c>
      <c r="L68" s="453">
        <v>0</v>
      </c>
      <c r="M68" s="453">
        <v>0</v>
      </c>
    </row>
    <row r="69" spans="1:13" s="45" customFormat="1" ht="14.25" customHeight="1">
      <c r="A69" s="127"/>
      <c r="B69" s="129" t="s">
        <v>495</v>
      </c>
      <c r="C69" s="102" t="s">
        <v>496</v>
      </c>
      <c r="D69" s="450">
        <v>442093</v>
      </c>
      <c r="E69" s="450">
        <f t="shared" si="16"/>
        <v>482000</v>
      </c>
      <c r="F69" s="450">
        <v>482000</v>
      </c>
      <c r="G69" s="453">
        <v>235485</v>
      </c>
      <c r="H69" s="453">
        <v>41160</v>
      </c>
      <c r="I69" s="453">
        <v>0</v>
      </c>
      <c r="J69" s="453">
        <v>0</v>
      </c>
      <c r="K69" s="453">
        <v>0</v>
      </c>
      <c r="L69" s="453">
        <v>0</v>
      </c>
      <c r="M69" s="453">
        <v>0</v>
      </c>
    </row>
    <row r="70" spans="1:13" s="45" customFormat="1" ht="14.25" customHeight="1">
      <c r="A70" s="127"/>
      <c r="B70" s="129" t="s">
        <v>497</v>
      </c>
      <c r="C70" s="102" t="s">
        <v>498</v>
      </c>
      <c r="D70" s="450">
        <v>1969037</v>
      </c>
      <c r="E70" s="450">
        <f t="shared" si="16"/>
        <v>2247362</v>
      </c>
      <c r="F70" s="453">
        <v>2247362</v>
      </c>
      <c r="G70" s="453">
        <v>109695</v>
      </c>
      <c r="H70" s="453">
        <v>18804</v>
      </c>
      <c r="I70" s="453">
        <v>123750</v>
      </c>
      <c r="J70" s="453">
        <v>0</v>
      </c>
      <c r="K70" s="453">
        <v>0</v>
      </c>
      <c r="L70" s="453">
        <v>0</v>
      </c>
      <c r="M70" s="453">
        <v>0</v>
      </c>
    </row>
    <row r="71" spans="1:13" s="45" customFormat="1" ht="23.25" customHeight="1">
      <c r="A71" s="134"/>
      <c r="B71" s="129" t="s">
        <v>499</v>
      </c>
      <c r="C71" s="102" t="s">
        <v>555</v>
      </c>
      <c r="D71" s="450">
        <v>442463</v>
      </c>
      <c r="E71" s="450">
        <f t="shared" si="16"/>
        <v>554139</v>
      </c>
      <c r="F71" s="453">
        <v>554139</v>
      </c>
      <c r="G71" s="453">
        <v>338473</v>
      </c>
      <c r="H71" s="453">
        <v>58567</v>
      </c>
      <c r="I71" s="453">
        <v>0</v>
      </c>
      <c r="J71" s="453">
        <v>0</v>
      </c>
      <c r="K71" s="453">
        <v>0</v>
      </c>
      <c r="L71" s="453">
        <v>0</v>
      </c>
      <c r="M71" s="453">
        <v>0</v>
      </c>
    </row>
    <row r="72" spans="1:13" s="45" customFormat="1" ht="60">
      <c r="A72" s="105" t="s">
        <v>489</v>
      </c>
      <c r="B72" s="129" t="s">
        <v>556</v>
      </c>
      <c r="C72" s="102" t="s">
        <v>580</v>
      </c>
      <c r="D72" s="450">
        <v>68780</v>
      </c>
      <c r="E72" s="450">
        <f t="shared" si="16"/>
        <v>73040</v>
      </c>
      <c r="F72" s="453">
        <v>73040</v>
      </c>
      <c r="G72" s="453">
        <v>39400</v>
      </c>
      <c r="H72" s="453">
        <v>4140</v>
      </c>
      <c r="I72" s="453">
        <v>0</v>
      </c>
      <c r="J72" s="453">
        <v>0</v>
      </c>
      <c r="K72" s="453">
        <v>0</v>
      </c>
      <c r="L72" s="453">
        <v>0</v>
      </c>
      <c r="M72" s="453">
        <v>0</v>
      </c>
    </row>
    <row r="73" spans="1:13" s="45" customFormat="1" ht="12.75">
      <c r="A73" s="137"/>
      <c r="B73" s="135" t="s">
        <v>636</v>
      </c>
      <c r="C73" s="112" t="s">
        <v>501</v>
      </c>
      <c r="D73" s="451">
        <v>78500</v>
      </c>
      <c r="E73" s="451">
        <f t="shared" si="16"/>
        <v>0</v>
      </c>
      <c r="F73" s="454">
        <v>0</v>
      </c>
      <c r="G73" s="454">
        <v>0</v>
      </c>
      <c r="H73" s="454">
        <v>0</v>
      </c>
      <c r="I73" s="454">
        <v>0</v>
      </c>
      <c r="J73" s="454">
        <v>0</v>
      </c>
      <c r="K73" s="454">
        <v>0</v>
      </c>
      <c r="L73" s="454">
        <v>0</v>
      </c>
      <c r="M73" s="454">
        <v>0</v>
      </c>
    </row>
    <row r="74" spans="1:13" s="45" customFormat="1" ht="36.75" customHeight="1">
      <c r="A74" s="127" t="s">
        <v>557</v>
      </c>
      <c r="B74" s="105"/>
      <c r="C74" s="100" t="s">
        <v>502</v>
      </c>
      <c r="D74" s="449">
        <f>SUM(D75:D77)</f>
        <v>2713749</v>
      </c>
      <c r="E74" s="449">
        <f aca="true" t="shared" si="17" ref="E74:M74">SUM(E75:E77)</f>
        <v>3385169</v>
      </c>
      <c r="F74" s="449">
        <f t="shared" si="17"/>
        <v>3371169</v>
      </c>
      <c r="G74" s="449">
        <f t="shared" si="17"/>
        <v>1992982</v>
      </c>
      <c r="H74" s="449">
        <f t="shared" si="17"/>
        <v>347304</v>
      </c>
      <c r="I74" s="449">
        <f t="shared" si="17"/>
        <v>167688</v>
      </c>
      <c r="J74" s="449">
        <f t="shared" si="17"/>
        <v>0</v>
      </c>
      <c r="K74" s="449">
        <f t="shared" si="17"/>
        <v>0</v>
      </c>
      <c r="L74" s="449">
        <f t="shared" si="17"/>
        <v>14000</v>
      </c>
      <c r="M74" s="449">
        <f t="shared" si="17"/>
        <v>0</v>
      </c>
    </row>
    <row r="75" spans="1:13" s="45" customFormat="1" ht="37.5" customHeight="1">
      <c r="A75" s="128"/>
      <c r="B75" s="129" t="s">
        <v>727</v>
      </c>
      <c r="C75" s="102" t="s">
        <v>728</v>
      </c>
      <c r="D75" s="450">
        <v>178800</v>
      </c>
      <c r="E75" s="450">
        <f t="shared" si="16"/>
        <v>197280</v>
      </c>
      <c r="F75" s="455">
        <v>197280</v>
      </c>
      <c r="G75" s="455">
        <v>0</v>
      </c>
      <c r="H75" s="455">
        <v>0</v>
      </c>
      <c r="I75" s="455">
        <v>167688</v>
      </c>
      <c r="J75" s="455">
        <v>0</v>
      </c>
      <c r="K75" s="455">
        <v>0</v>
      </c>
      <c r="L75" s="455">
        <v>0</v>
      </c>
      <c r="M75" s="455">
        <v>0</v>
      </c>
    </row>
    <row r="76" spans="1:13" s="45" customFormat="1" ht="14.25" customHeight="1">
      <c r="A76" s="127"/>
      <c r="B76" s="129" t="s">
        <v>503</v>
      </c>
      <c r="C76" s="102" t="s">
        <v>504</v>
      </c>
      <c r="D76" s="450">
        <v>2414866</v>
      </c>
      <c r="E76" s="450">
        <f t="shared" si="16"/>
        <v>3020156</v>
      </c>
      <c r="F76" s="453">
        <f>2569709+450000-13553</f>
        <v>3006156</v>
      </c>
      <c r="G76" s="453">
        <f>1878557-13553</f>
        <v>1865004</v>
      </c>
      <c r="H76" s="453">
        <v>323430</v>
      </c>
      <c r="I76" s="453">
        <v>0</v>
      </c>
      <c r="J76" s="453">
        <v>0</v>
      </c>
      <c r="K76" s="453">
        <v>0</v>
      </c>
      <c r="L76" s="453">
        <v>14000</v>
      </c>
      <c r="M76" s="453">
        <v>0</v>
      </c>
    </row>
    <row r="77" spans="1:13" s="45" customFormat="1" ht="14.25" customHeight="1">
      <c r="A77" s="134"/>
      <c r="B77" s="129" t="s">
        <v>23</v>
      </c>
      <c r="C77" s="102" t="s">
        <v>501</v>
      </c>
      <c r="D77" s="450">
        <f>41159+78924</f>
        <v>120083</v>
      </c>
      <c r="E77" s="450">
        <f t="shared" si="16"/>
        <v>167733</v>
      </c>
      <c r="F77" s="453">
        <f>91872+75861</f>
        <v>167733</v>
      </c>
      <c r="G77" s="453">
        <f>77110+50868</f>
        <v>127978</v>
      </c>
      <c r="H77" s="453">
        <f>14762+7865+1247</f>
        <v>23874</v>
      </c>
      <c r="I77" s="453">
        <v>0</v>
      </c>
      <c r="J77" s="453">
        <v>0</v>
      </c>
      <c r="K77" s="453">
        <v>0</v>
      </c>
      <c r="L77" s="453">
        <v>0</v>
      </c>
      <c r="M77" s="453">
        <v>0</v>
      </c>
    </row>
    <row r="78" spans="1:13" s="179" customFormat="1" ht="29.25" customHeight="1">
      <c r="A78" s="127" t="s">
        <v>505</v>
      </c>
      <c r="B78" s="105"/>
      <c r="C78" s="100" t="s">
        <v>506</v>
      </c>
      <c r="D78" s="449">
        <f>SUM(D79,D80,D81,D82,D83,D84,D85,D87,D86)</f>
        <v>3651678</v>
      </c>
      <c r="E78" s="452">
        <f aca="true" t="shared" si="18" ref="E78:M78">SUM(E79,E80,E81,E82,E83,E84,E85,E87,E86)</f>
        <v>3567513</v>
      </c>
      <c r="F78" s="452">
        <f t="shared" si="18"/>
        <v>3567513</v>
      </c>
      <c r="G78" s="452">
        <f t="shared" si="18"/>
        <v>2300469</v>
      </c>
      <c r="H78" s="452">
        <f t="shared" si="18"/>
        <v>409352</v>
      </c>
      <c r="I78" s="452">
        <f t="shared" si="18"/>
        <v>12000</v>
      </c>
      <c r="J78" s="452">
        <f t="shared" si="18"/>
        <v>0</v>
      </c>
      <c r="K78" s="452">
        <f t="shared" si="18"/>
        <v>0</v>
      </c>
      <c r="L78" s="452">
        <f t="shared" si="18"/>
        <v>0</v>
      </c>
      <c r="M78" s="452">
        <f t="shared" si="18"/>
        <v>0</v>
      </c>
    </row>
    <row r="79" spans="1:13" s="179" customFormat="1" ht="14.25" customHeight="1">
      <c r="A79" s="128"/>
      <c r="B79" s="129" t="s">
        <v>558</v>
      </c>
      <c r="C79" s="102" t="s">
        <v>559</v>
      </c>
      <c r="D79" s="450">
        <v>55858</v>
      </c>
      <c r="E79" s="450">
        <f aca="true" t="shared" si="19" ref="E79:E92">SUM(F79,L79)</f>
        <v>74868</v>
      </c>
      <c r="F79" s="453">
        <v>74868</v>
      </c>
      <c r="G79" s="453">
        <v>57759</v>
      </c>
      <c r="H79" s="453">
        <v>10318</v>
      </c>
      <c r="I79" s="453">
        <v>0</v>
      </c>
      <c r="J79" s="453">
        <v>0</v>
      </c>
      <c r="K79" s="453">
        <v>0</v>
      </c>
      <c r="L79" s="453">
        <v>0</v>
      </c>
      <c r="M79" s="453">
        <v>0</v>
      </c>
    </row>
    <row r="80" spans="1:13" s="179" customFormat="1" ht="24" customHeight="1">
      <c r="A80" s="127"/>
      <c r="B80" s="135" t="s">
        <v>507</v>
      </c>
      <c r="C80" s="112" t="s">
        <v>560</v>
      </c>
      <c r="D80" s="451">
        <v>882209</v>
      </c>
      <c r="E80" s="451">
        <f t="shared" si="19"/>
        <v>800870</v>
      </c>
      <c r="F80" s="454">
        <v>800870</v>
      </c>
      <c r="G80" s="454">
        <v>554167</v>
      </c>
      <c r="H80" s="454">
        <v>99245</v>
      </c>
      <c r="I80" s="454">
        <v>0</v>
      </c>
      <c r="J80" s="454">
        <v>0</v>
      </c>
      <c r="K80" s="454">
        <v>0</v>
      </c>
      <c r="L80" s="454">
        <v>0</v>
      </c>
      <c r="M80" s="454">
        <v>0</v>
      </c>
    </row>
    <row r="81" spans="1:13" s="179" customFormat="1" ht="35.25" customHeight="1">
      <c r="A81" s="127"/>
      <c r="B81" s="129" t="s">
        <v>561</v>
      </c>
      <c r="C81" s="102" t="s">
        <v>562</v>
      </c>
      <c r="D81" s="450">
        <v>917611</v>
      </c>
      <c r="E81" s="450">
        <f t="shared" si="19"/>
        <v>843770</v>
      </c>
      <c r="F81" s="450">
        <v>843770</v>
      </c>
      <c r="G81" s="453">
        <v>594058</v>
      </c>
      <c r="H81" s="453">
        <v>106318</v>
      </c>
      <c r="I81" s="453">
        <v>0</v>
      </c>
      <c r="J81" s="453">
        <v>0</v>
      </c>
      <c r="K81" s="453">
        <v>0</v>
      </c>
      <c r="L81" s="453">
        <v>0</v>
      </c>
      <c r="M81" s="453">
        <v>0</v>
      </c>
    </row>
    <row r="82" spans="1:13" s="179" customFormat="1" ht="23.25" customHeight="1">
      <c r="A82" s="127"/>
      <c r="B82" s="129" t="s">
        <v>563</v>
      </c>
      <c r="C82" s="102" t="s">
        <v>564</v>
      </c>
      <c r="D82" s="450">
        <v>482134</v>
      </c>
      <c r="E82" s="450">
        <f t="shared" si="19"/>
        <v>470963</v>
      </c>
      <c r="F82" s="450">
        <v>470963</v>
      </c>
      <c r="G82" s="453">
        <v>323351</v>
      </c>
      <c r="H82" s="453">
        <v>57876</v>
      </c>
      <c r="I82" s="453">
        <v>0</v>
      </c>
      <c r="J82" s="453">
        <v>0</v>
      </c>
      <c r="K82" s="453">
        <v>0</v>
      </c>
      <c r="L82" s="453">
        <v>0</v>
      </c>
      <c r="M82" s="453">
        <v>0</v>
      </c>
    </row>
    <row r="83" spans="1:13" s="179" customFormat="1" ht="15" customHeight="1">
      <c r="A83" s="127"/>
      <c r="B83" s="129" t="s">
        <v>565</v>
      </c>
      <c r="C83" s="102" t="s">
        <v>566</v>
      </c>
      <c r="D83" s="450">
        <v>1189634</v>
      </c>
      <c r="E83" s="450">
        <f t="shared" si="19"/>
        <v>1223603</v>
      </c>
      <c r="F83" s="453">
        <v>1223603</v>
      </c>
      <c r="G83" s="453">
        <v>759834</v>
      </c>
      <c r="H83" s="453">
        <v>133571</v>
      </c>
      <c r="I83" s="453">
        <v>0</v>
      </c>
      <c r="J83" s="453">
        <v>0</v>
      </c>
      <c r="K83" s="453">
        <v>0</v>
      </c>
      <c r="L83" s="453">
        <v>0</v>
      </c>
      <c r="M83" s="453">
        <v>0</v>
      </c>
    </row>
    <row r="84" spans="1:13" s="179" customFormat="1" ht="24.75" customHeight="1">
      <c r="A84" s="127"/>
      <c r="B84" s="129" t="s">
        <v>509</v>
      </c>
      <c r="C84" s="102" t="s">
        <v>510</v>
      </c>
      <c r="D84" s="450">
        <v>77010</v>
      </c>
      <c r="E84" s="450">
        <f t="shared" si="19"/>
        <v>102000</v>
      </c>
      <c r="F84" s="453">
        <v>102000</v>
      </c>
      <c r="G84" s="453">
        <v>0</v>
      </c>
      <c r="H84" s="453">
        <v>0</v>
      </c>
      <c r="I84" s="453">
        <v>12000</v>
      </c>
      <c r="J84" s="453">
        <v>0</v>
      </c>
      <c r="K84" s="453">
        <v>0</v>
      </c>
      <c r="L84" s="453">
        <v>0</v>
      </c>
      <c r="M84" s="453">
        <v>0</v>
      </c>
    </row>
    <row r="85" spans="1:13" s="179" customFormat="1" ht="22.5" customHeight="1">
      <c r="A85" s="127"/>
      <c r="B85" s="129" t="s">
        <v>511</v>
      </c>
      <c r="C85" s="102" t="s">
        <v>567</v>
      </c>
      <c r="D85" s="450">
        <v>21391</v>
      </c>
      <c r="E85" s="450">
        <f t="shared" si="19"/>
        <v>18864</v>
      </c>
      <c r="F85" s="453">
        <v>18864</v>
      </c>
      <c r="G85" s="453">
        <v>11300</v>
      </c>
      <c r="H85" s="453">
        <v>2024</v>
      </c>
      <c r="I85" s="453">
        <v>0</v>
      </c>
      <c r="J85" s="453">
        <v>0</v>
      </c>
      <c r="K85" s="453">
        <v>0</v>
      </c>
      <c r="L85" s="453">
        <v>0</v>
      </c>
      <c r="M85" s="453">
        <v>0</v>
      </c>
    </row>
    <row r="86" spans="1:13" s="179" customFormat="1" ht="24">
      <c r="A86" s="127"/>
      <c r="B86" s="129" t="s">
        <v>568</v>
      </c>
      <c r="C86" s="102" t="s">
        <v>548</v>
      </c>
      <c r="D86" s="450">
        <v>15330</v>
      </c>
      <c r="E86" s="450">
        <f t="shared" si="19"/>
        <v>25359</v>
      </c>
      <c r="F86" s="450">
        <v>25359</v>
      </c>
      <c r="G86" s="453">
        <v>0</v>
      </c>
      <c r="H86" s="453">
        <v>0</v>
      </c>
      <c r="I86" s="453">
        <v>0</v>
      </c>
      <c r="J86" s="453">
        <v>0</v>
      </c>
      <c r="K86" s="453">
        <v>0</v>
      </c>
      <c r="L86" s="453">
        <v>0</v>
      </c>
      <c r="M86" s="453">
        <v>0</v>
      </c>
    </row>
    <row r="87" spans="1:13" s="179" customFormat="1" ht="14.25" customHeight="1">
      <c r="A87" s="134"/>
      <c r="B87" s="129" t="s">
        <v>569</v>
      </c>
      <c r="C87" s="102" t="s">
        <v>501</v>
      </c>
      <c r="D87" s="450">
        <v>10501</v>
      </c>
      <c r="E87" s="450">
        <f t="shared" si="19"/>
        <v>7216</v>
      </c>
      <c r="F87" s="453">
        <v>7216</v>
      </c>
      <c r="G87" s="453">
        <v>0</v>
      </c>
      <c r="H87" s="453">
        <v>0</v>
      </c>
      <c r="I87" s="453">
        <v>0</v>
      </c>
      <c r="J87" s="453">
        <v>0</v>
      </c>
      <c r="K87" s="453">
        <v>0</v>
      </c>
      <c r="L87" s="453">
        <v>0</v>
      </c>
      <c r="M87" s="453">
        <v>0</v>
      </c>
    </row>
    <row r="88" spans="1:13" s="45" customFormat="1" ht="40.5" customHeight="1">
      <c r="A88" s="105" t="s">
        <v>570</v>
      </c>
      <c r="B88" s="105"/>
      <c r="C88" s="100" t="s">
        <v>571</v>
      </c>
      <c r="D88" s="449">
        <f aca="true" t="shared" si="20" ref="D88:M88">SUM(D89:D90)</f>
        <v>83000</v>
      </c>
      <c r="E88" s="449">
        <f t="shared" si="20"/>
        <v>79400</v>
      </c>
      <c r="F88" s="449">
        <f t="shared" si="20"/>
        <v>79400</v>
      </c>
      <c r="G88" s="449">
        <f t="shared" si="20"/>
        <v>0</v>
      </c>
      <c r="H88" s="449">
        <f t="shared" si="20"/>
        <v>0</v>
      </c>
      <c r="I88" s="449">
        <f t="shared" si="20"/>
        <v>67500</v>
      </c>
      <c r="J88" s="449">
        <f t="shared" si="20"/>
        <v>0</v>
      </c>
      <c r="K88" s="449">
        <f t="shared" si="20"/>
        <v>0</v>
      </c>
      <c r="L88" s="449">
        <f t="shared" si="20"/>
        <v>0</v>
      </c>
      <c r="M88" s="449">
        <f t="shared" si="20"/>
        <v>0</v>
      </c>
    </row>
    <row r="89" spans="1:13" s="45" customFormat="1" ht="23.25" customHeight="1">
      <c r="A89" s="128"/>
      <c r="B89" s="129" t="s">
        <v>217</v>
      </c>
      <c r="C89" s="102" t="s">
        <v>702</v>
      </c>
      <c r="D89" s="450">
        <v>29000</v>
      </c>
      <c r="E89" s="450">
        <f t="shared" si="19"/>
        <v>25400</v>
      </c>
      <c r="F89" s="453">
        <v>25400</v>
      </c>
      <c r="G89" s="453">
        <v>0</v>
      </c>
      <c r="H89" s="453">
        <v>0</v>
      </c>
      <c r="I89" s="453">
        <v>13500</v>
      </c>
      <c r="J89" s="453">
        <v>0</v>
      </c>
      <c r="K89" s="453">
        <v>0</v>
      </c>
      <c r="L89" s="453">
        <v>0</v>
      </c>
      <c r="M89" s="453">
        <v>0</v>
      </c>
    </row>
    <row r="90" spans="1:13" s="45" customFormat="1" ht="17.25" customHeight="1">
      <c r="A90" s="134"/>
      <c r="B90" s="129" t="s">
        <v>572</v>
      </c>
      <c r="C90" s="102" t="s">
        <v>573</v>
      </c>
      <c r="D90" s="450">
        <v>54000</v>
      </c>
      <c r="E90" s="450">
        <f t="shared" si="19"/>
        <v>54000</v>
      </c>
      <c r="F90" s="453">
        <v>54000</v>
      </c>
      <c r="G90" s="453">
        <v>0</v>
      </c>
      <c r="H90" s="453">
        <v>0</v>
      </c>
      <c r="I90" s="453">
        <v>54000</v>
      </c>
      <c r="J90" s="453">
        <v>0</v>
      </c>
      <c r="K90" s="453">
        <v>0</v>
      </c>
      <c r="L90" s="453">
        <v>0</v>
      </c>
      <c r="M90" s="453">
        <v>0</v>
      </c>
    </row>
    <row r="91" spans="1:13" s="45" customFormat="1" ht="25.5" customHeight="1">
      <c r="A91" s="134" t="s">
        <v>574</v>
      </c>
      <c r="B91" s="105"/>
      <c r="C91" s="100" t="s">
        <v>575</v>
      </c>
      <c r="D91" s="449">
        <f aca="true" t="shared" si="21" ref="D91:M91">SUM(D92)</f>
        <v>48000</v>
      </c>
      <c r="E91" s="449">
        <f t="shared" si="21"/>
        <v>70900</v>
      </c>
      <c r="F91" s="452">
        <f t="shared" si="21"/>
        <v>70900</v>
      </c>
      <c r="G91" s="452">
        <f t="shared" si="21"/>
        <v>0</v>
      </c>
      <c r="H91" s="452">
        <f t="shared" si="21"/>
        <v>0</v>
      </c>
      <c r="I91" s="452">
        <f t="shared" si="21"/>
        <v>36000</v>
      </c>
      <c r="J91" s="452">
        <f t="shared" si="21"/>
        <v>0</v>
      </c>
      <c r="K91" s="452">
        <f t="shared" si="21"/>
        <v>0</v>
      </c>
      <c r="L91" s="452">
        <f t="shared" si="21"/>
        <v>0</v>
      </c>
      <c r="M91" s="452">
        <f t="shared" si="21"/>
        <v>0</v>
      </c>
    </row>
    <row r="92" spans="1:13" s="45" customFormat="1" ht="14.25" customHeight="1">
      <c r="A92" s="105"/>
      <c r="B92" s="105" t="s">
        <v>576</v>
      </c>
      <c r="C92" s="102" t="s">
        <v>501</v>
      </c>
      <c r="D92" s="450">
        <v>48000</v>
      </c>
      <c r="E92" s="450">
        <f t="shared" si="19"/>
        <v>70900</v>
      </c>
      <c r="F92" s="453">
        <v>70900</v>
      </c>
      <c r="G92" s="453">
        <v>0</v>
      </c>
      <c r="H92" s="453">
        <v>0</v>
      </c>
      <c r="I92" s="453">
        <v>36000</v>
      </c>
      <c r="J92" s="453">
        <v>0</v>
      </c>
      <c r="K92" s="453">
        <v>0</v>
      </c>
      <c r="L92" s="453">
        <v>0</v>
      </c>
      <c r="M92" s="453">
        <v>0</v>
      </c>
    </row>
    <row r="93" spans="1:13" s="179" customFormat="1" ht="18.75" customHeight="1">
      <c r="A93" s="796" t="s">
        <v>577</v>
      </c>
      <c r="B93" s="796"/>
      <c r="C93" s="796"/>
      <c r="D93" s="242">
        <f>D12+D14+D17+D21+D23+D28+D36+D42+D44+D46+D60+D66+D74+D78+D88+D91+D58+D19</f>
        <v>65597699</v>
      </c>
      <c r="E93" s="242">
        <f>E12+E14+E17+E21+E23+E28+E36+E42+E44+E46+E60+E66+E74+E78+E88+E91+E58+E19</f>
        <v>83551097</v>
      </c>
      <c r="F93" s="242">
        <f aca="true" t="shared" si="22" ref="F93:M93">F12+F14+F17+F21+F23+F28+F36+F42+F44+F46+F60+F66+F74+F78+F88+F91+F58+F19</f>
        <v>66942721</v>
      </c>
      <c r="G93" s="242">
        <f t="shared" si="22"/>
        <v>33570617</v>
      </c>
      <c r="H93" s="242">
        <f t="shared" si="22"/>
        <v>5549555</v>
      </c>
      <c r="I93" s="242">
        <f t="shared" si="22"/>
        <v>2265631</v>
      </c>
      <c r="J93" s="242">
        <f t="shared" si="22"/>
        <v>2000000</v>
      </c>
      <c r="K93" s="242">
        <f t="shared" si="22"/>
        <v>0</v>
      </c>
      <c r="L93" s="242">
        <f t="shared" si="22"/>
        <v>16608376</v>
      </c>
      <c r="M93" s="242">
        <f t="shared" si="22"/>
        <v>421270</v>
      </c>
    </row>
    <row r="94" spans="4:12" ht="12.75">
      <c r="D94" s="99"/>
      <c r="E94" s="99"/>
      <c r="F94" s="150" t="s">
        <v>617</v>
      </c>
      <c r="G94" s="150"/>
      <c r="H94" s="150"/>
      <c r="I94" s="150"/>
      <c r="J94" s="150"/>
      <c r="K94" s="150"/>
      <c r="L94" s="150"/>
    </row>
    <row r="95" spans="4:12" ht="12.75">
      <c r="D95" s="115"/>
      <c r="E95" s="115"/>
      <c r="F95" s="150"/>
      <c r="G95" s="150"/>
      <c r="H95" s="150"/>
      <c r="I95" s="150"/>
      <c r="J95" s="150"/>
      <c r="K95" s="150"/>
      <c r="L95" s="150"/>
    </row>
    <row r="96" spans="4:12" ht="12.75">
      <c r="D96" s="99"/>
      <c r="E96" s="99"/>
      <c r="F96" s="150"/>
      <c r="G96" s="150"/>
      <c r="H96" s="150"/>
      <c r="I96" s="150"/>
      <c r="J96" s="150"/>
      <c r="K96" s="150"/>
      <c r="L96" s="150"/>
    </row>
    <row r="97" spans="4:12" ht="12.75">
      <c r="D97" s="99"/>
      <c r="E97" s="99"/>
      <c r="F97" s="150"/>
      <c r="G97" s="150"/>
      <c r="H97" s="150"/>
      <c r="I97" s="150"/>
      <c r="J97" s="150"/>
      <c r="K97" s="150"/>
      <c r="L97" s="150"/>
    </row>
    <row r="98" spans="4:12" ht="12.75">
      <c r="D98" s="99"/>
      <c r="E98" s="99"/>
      <c r="F98" s="150"/>
      <c r="G98" s="150"/>
      <c r="H98" s="150"/>
      <c r="I98" s="150"/>
      <c r="J98" s="150"/>
      <c r="K98" s="150"/>
      <c r="L98" s="150"/>
    </row>
    <row r="99" spans="4:12" ht="12.75">
      <c r="D99" s="115"/>
      <c r="E99" s="99"/>
      <c r="F99" s="150"/>
      <c r="G99" s="150"/>
      <c r="H99" s="150"/>
      <c r="I99" s="150"/>
      <c r="J99" s="150"/>
      <c r="K99" s="150"/>
      <c r="L99" s="150"/>
    </row>
    <row r="100" spans="4:12" ht="12.75">
      <c r="D100" s="99"/>
      <c r="E100" s="99"/>
      <c r="F100" s="150"/>
      <c r="G100" s="150"/>
      <c r="H100" s="150"/>
      <c r="I100" s="150"/>
      <c r="J100" s="150"/>
      <c r="K100" s="150"/>
      <c r="L100" s="150"/>
    </row>
    <row r="101" spans="4:12" ht="12.75">
      <c r="D101" s="99"/>
      <c r="E101" s="99"/>
      <c r="F101" s="150"/>
      <c r="G101" s="150"/>
      <c r="H101" s="150"/>
      <c r="I101" s="150"/>
      <c r="J101" s="150"/>
      <c r="K101" s="150"/>
      <c r="L101" s="150"/>
    </row>
    <row r="102" spans="4:12" ht="12.75">
      <c r="D102" s="99"/>
      <c r="E102" s="99"/>
      <c r="F102" s="150"/>
      <c r="G102" s="150"/>
      <c r="H102" s="150"/>
      <c r="I102" s="150"/>
      <c r="J102" s="150"/>
      <c r="K102" s="150"/>
      <c r="L102" s="150"/>
    </row>
    <row r="103" spans="4:12" ht="12.75">
      <c r="D103" s="99"/>
      <c r="E103" s="99"/>
      <c r="F103" s="150"/>
      <c r="G103" s="150"/>
      <c r="H103" s="150"/>
      <c r="I103" s="150"/>
      <c r="J103" s="150"/>
      <c r="K103" s="150"/>
      <c r="L103" s="150"/>
    </row>
    <row r="104" spans="4:12" ht="12.75">
      <c r="D104" s="99"/>
      <c r="E104" s="99"/>
      <c r="F104" s="150"/>
      <c r="G104" s="150"/>
      <c r="H104" s="150"/>
      <c r="I104" s="150"/>
      <c r="J104" s="150"/>
      <c r="K104" s="150"/>
      <c r="L104" s="150"/>
    </row>
    <row r="105" spans="4:12" ht="12.75">
      <c r="D105" s="99"/>
      <c r="E105" s="99"/>
      <c r="F105" s="150"/>
      <c r="G105" s="150"/>
      <c r="H105" s="150"/>
      <c r="I105" s="150"/>
      <c r="J105" s="150"/>
      <c r="K105" s="150"/>
      <c r="L105" s="150"/>
    </row>
    <row r="106" spans="4:12" ht="12.75">
      <c r="D106" s="99"/>
      <c r="E106" s="99"/>
      <c r="F106" s="150"/>
      <c r="G106" s="150"/>
      <c r="H106" s="150"/>
      <c r="I106" s="150"/>
      <c r="J106" s="150"/>
      <c r="K106" s="150"/>
      <c r="L106" s="150"/>
    </row>
    <row r="107" spans="4:12" ht="12.75">
      <c r="D107" s="99"/>
      <c r="E107" s="99"/>
      <c r="F107" s="150"/>
      <c r="G107" s="150"/>
      <c r="H107" s="150"/>
      <c r="I107" s="150"/>
      <c r="J107" s="150"/>
      <c r="K107" s="150"/>
      <c r="L107" s="150"/>
    </row>
    <row r="108" spans="4:12" ht="12.75">
      <c r="D108" s="99"/>
      <c r="E108" s="99"/>
      <c r="F108" s="150"/>
      <c r="G108" s="150"/>
      <c r="H108" s="150"/>
      <c r="I108" s="150"/>
      <c r="J108" s="150"/>
      <c r="K108" s="150"/>
      <c r="L108" s="150"/>
    </row>
    <row r="109" spans="4:12" ht="12.75">
      <c r="D109" s="99"/>
      <c r="E109" s="99"/>
      <c r="F109" s="150"/>
      <c r="G109" s="150"/>
      <c r="H109" s="150"/>
      <c r="I109" s="150"/>
      <c r="J109" s="150"/>
      <c r="K109" s="150"/>
      <c r="L109" s="150"/>
    </row>
    <row r="110" spans="4:12" ht="12.75">
      <c r="D110" s="99"/>
      <c r="E110" s="99"/>
      <c r="F110" s="150"/>
      <c r="G110" s="150"/>
      <c r="H110" s="150"/>
      <c r="I110" s="150"/>
      <c r="J110" s="150"/>
      <c r="K110" s="150"/>
      <c r="L110" s="150"/>
    </row>
    <row r="111" spans="4:12" ht="12.75">
      <c r="D111" s="99"/>
      <c r="E111" s="99"/>
      <c r="F111" s="150"/>
      <c r="G111" s="150"/>
      <c r="H111" s="150"/>
      <c r="I111" s="150"/>
      <c r="J111" s="150"/>
      <c r="K111" s="150"/>
      <c r="L111" s="150"/>
    </row>
    <row r="112" spans="4:12" ht="12.75">
      <c r="D112" s="99"/>
      <c r="E112" s="99"/>
      <c r="F112" s="150"/>
      <c r="G112" s="150"/>
      <c r="H112" s="150"/>
      <c r="I112" s="150"/>
      <c r="J112" s="150"/>
      <c r="K112" s="150"/>
      <c r="L112" s="150"/>
    </row>
    <row r="113" spans="4:12" ht="12.75">
      <c r="D113" s="99"/>
      <c r="E113" s="99"/>
      <c r="F113" s="150"/>
      <c r="G113" s="150"/>
      <c r="H113" s="150"/>
      <c r="I113" s="150"/>
      <c r="J113" s="150"/>
      <c r="K113" s="150"/>
      <c r="L113" s="150"/>
    </row>
    <row r="114" spans="4:12" ht="12.75">
      <c r="D114" s="99"/>
      <c r="E114" s="99"/>
      <c r="F114" s="150"/>
      <c r="G114" s="150"/>
      <c r="H114" s="150"/>
      <c r="I114" s="150"/>
      <c r="J114" s="150"/>
      <c r="K114" s="150"/>
      <c r="L114" s="150"/>
    </row>
    <row r="115" spans="4:12" ht="12.75">
      <c r="D115" s="99"/>
      <c r="E115" s="99"/>
      <c r="F115" s="150"/>
      <c r="G115" s="150"/>
      <c r="H115" s="150"/>
      <c r="I115" s="150"/>
      <c r="J115" s="150"/>
      <c r="K115" s="150"/>
      <c r="L115" s="150"/>
    </row>
    <row r="116" spans="4:12" ht="12.75">
      <c r="D116" s="99"/>
      <c r="E116" s="99"/>
      <c r="F116" s="150"/>
      <c r="G116" s="150"/>
      <c r="H116" s="150"/>
      <c r="I116" s="150"/>
      <c r="J116" s="150"/>
      <c r="K116" s="150"/>
      <c r="L116" s="150"/>
    </row>
    <row r="117" spans="4:12" ht="12.75">
      <c r="D117" s="99"/>
      <c r="E117" s="99"/>
      <c r="F117" s="150"/>
      <c r="G117" s="150"/>
      <c r="H117" s="150"/>
      <c r="I117" s="150"/>
      <c r="J117" s="150"/>
      <c r="K117" s="150"/>
      <c r="L117" s="150"/>
    </row>
    <row r="118" spans="4:12" ht="12.75">
      <c r="D118" s="99"/>
      <c r="E118" s="99"/>
      <c r="F118" s="150"/>
      <c r="G118" s="150"/>
      <c r="H118" s="150"/>
      <c r="I118" s="150"/>
      <c r="J118" s="150"/>
      <c r="K118" s="150"/>
      <c r="L118" s="150"/>
    </row>
    <row r="119" spans="4:12" ht="12.75">
      <c r="D119" s="99"/>
      <c r="E119" s="99"/>
      <c r="F119" s="150"/>
      <c r="G119" s="150"/>
      <c r="H119" s="150"/>
      <c r="I119" s="150"/>
      <c r="J119" s="150"/>
      <c r="K119" s="150"/>
      <c r="L119" s="150"/>
    </row>
    <row r="120" spans="4:12" ht="12.75">
      <c r="D120" s="99"/>
      <c r="E120" s="99"/>
      <c r="F120" s="150"/>
      <c r="G120" s="150"/>
      <c r="H120" s="150"/>
      <c r="I120" s="150"/>
      <c r="J120" s="150"/>
      <c r="K120" s="150"/>
      <c r="L120" s="150"/>
    </row>
    <row r="121" spans="4:12" ht="12.75">
      <c r="D121" s="99"/>
      <c r="E121" s="99"/>
      <c r="F121" s="150"/>
      <c r="G121" s="150"/>
      <c r="H121" s="150"/>
      <c r="I121" s="150"/>
      <c r="J121" s="150"/>
      <c r="K121" s="150"/>
      <c r="L121" s="150"/>
    </row>
    <row r="122" spans="4:12" ht="12.75">
      <c r="D122" s="99"/>
      <c r="E122" s="99"/>
      <c r="F122" s="150"/>
      <c r="G122" s="150"/>
      <c r="H122" s="150"/>
      <c r="I122" s="150"/>
      <c r="J122" s="150"/>
      <c r="K122" s="150"/>
      <c r="L122" s="150"/>
    </row>
    <row r="123" spans="4:12" ht="12.75">
      <c r="D123" s="99"/>
      <c r="E123" s="99"/>
      <c r="F123" s="150"/>
      <c r="G123" s="150"/>
      <c r="H123" s="150"/>
      <c r="I123" s="150"/>
      <c r="J123" s="150"/>
      <c r="K123" s="150"/>
      <c r="L123" s="150"/>
    </row>
    <row r="124" spans="4:12" ht="12.75">
      <c r="D124" s="99"/>
      <c r="E124" s="99"/>
      <c r="F124" s="150"/>
      <c r="G124" s="150"/>
      <c r="H124" s="150"/>
      <c r="I124" s="150"/>
      <c r="J124" s="150"/>
      <c r="K124" s="150"/>
      <c r="L124" s="150"/>
    </row>
    <row r="125" spans="4:12" ht="12.75">
      <c r="D125" s="99"/>
      <c r="E125" s="99"/>
      <c r="F125" s="150"/>
      <c r="G125" s="150"/>
      <c r="H125" s="150"/>
      <c r="I125" s="150"/>
      <c r="J125" s="150"/>
      <c r="K125" s="150"/>
      <c r="L125" s="150"/>
    </row>
    <row r="126" spans="4:12" ht="12.75">
      <c r="D126" s="99"/>
      <c r="E126" s="99"/>
      <c r="F126" s="150"/>
      <c r="G126" s="150"/>
      <c r="H126" s="150"/>
      <c r="I126" s="150"/>
      <c r="J126" s="150"/>
      <c r="K126" s="150"/>
      <c r="L126" s="150"/>
    </row>
    <row r="127" spans="4:12" ht="12.75">
      <c r="D127" s="99"/>
      <c r="E127" s="99"/>
      <c r="F127" s="150"/>
      <c r="G127" s="150"/>
      <c r="H127" s="150"/>
      <c r="I127" s="150"/>
      <c r="J127" s="150"/>
      <c r="K127" s="150"/>
      <c r="L127" s="150"/>
    </row>
    <row r="128" spans="4:12" ht="12.75">
      <c r="D128" s="99"/>
      <c r="E128" s="99"/>
      <c r="F128" s="150"/>
      <c r="G128" s="150"/>
      <c r="H128" s="150"/>
      <c r="I128" s="150"/>
      <c r="J128" s="150"/>
      <c r="K128" s="150"/>
      <c r="L128" s="150"/>
    </row>
    <row r="129" spans="4:12" ht="12.75">
      <c r="D129" s="99"/>
      <c r="E129" s="99"/>
      <c r="F129" s="150"/>
      <c r="G129" s="150"/>
      <c r="H129" s="150"/>
      <c r="I129" s="150"/>
      <c r="J129" s="150"/>
      <c r="K129" s="150"/>
      <c r="L129" s="150"/>
    </row>
    <row r="130" spans="4:12" ht="12.75">
      <c r="D130" s="99"/>
      <c r="E130" s="99"/>
      <c r="F130" s="150"/>
      <c r="G130" s="150"/>
      <c r="H130" s="150"/>
      <c r="I130" s="150"/>
      <c r="J130" s="150"/>
      <c r="K130" s="150"/>
      <c r="L130" s="150"/>
    </row>
    <row r="131" spans="4:12" ht="12.75">
      <c r="D131" s="99"/>
      <c r="E131" s="99"/>
      <c r="F131" s="150"/>
      <c r="G131" s="150"/>
      <c r="H131" s="150"/>
      <c r="I131" s="150"/>
      <c r="J131" s="150"/>
      <c r="K131" s="150"/>
      <c r="L131" s="150"/>
    </row>
    <row r="132" spans="4:12" ht="12.75">
      <c r="D132" s="99"/>
      <c r="E132" s="99"/>
      <c r="F132" s="150"/>
      <c r="G132" s="150"/>
      <c r="H132" s="150"/>
      <c r="I132" s="150"/>
      <c r="J132" s="150"/>
      <c r="K132" s="150"/>
      <c r="L132" s="150"/>
    </row>
    <row r="133" spans="4:12" ht="12.75">
      <c r="D133" s="99"/>
      <c r="E133" s="99"/>
      <c r="F133" s="150"/>
      <c r="G133" s="150"/>
      <c r="H133" s="150"/>
      <c r="I133" s="150"/>
      <c r="J133" s="150"/>
      <c r="K133" s="150"/>
      <c r="L133" s="150"/>
    </row>
    <row r="134" spans="4:12" ht="12.75">
      <c r="D134" s="99"/>
      <c r="E134" s="99"/>
      <c r="F134" s="150"/>
      <c r="G134" s="150"/>
      <c r="H134" s="150"/>
      <c r="I134" s="150"/>
      <c r="J134" s="150"/>
      <c r="K134" s="150"/>
      <c r="L134" s="150"/>
    </row>
    <row r="135" spans="4:12" ht="12.75">
      <c r="D135" s="99"/>
      <c r="E135" s="99"/>
      <c r="F135" s="150"/>
      <c r="G135" s="150"/>
      <c r="H135" s="150"/>
      <c r="I135" s="150"/>
      <c r="J135" s="150"/>
      <c r="K135" s="150"/>
      <c r="L135" s="150"/>
    </row>
    <row r="136" spans="4:12" ht="12.75">
      <c r="D136" s="99"/>
      <c r="E136" s="99"/>
      <c r="F136" s="150"/>
      <c r="G136" s="150"/>
      <c r="H136" s="150"/>
      <c r="I136" s="150"/>
      <c r="J136" s="150"/>
      <c r="K136" s="150"/>
      <c r="L136" s="150"/>
    </row>
    <row r="137" spans="4:12" ht="12.75">
      <c r="D137" s="99"/>
      <c r="E137" s="99"/>
      <c r="F137" s="150"/>
      <c r="G137" s="150"/>
      <c r="H137" s="150"/>
      <c r="I137" s="150"/>
      <c r="J137" s="150"/>
      <c r="K137" s="150"/>
      <c r="L137" s="150"/>
    </row>
    <row r="138" spans="4:12" ht="12.75">
      <c r="D138" s="99"/>
      <c r="E138" s="99"/>
      <c r="F138" s="150"/>
      <c r="G138" s="150"/>
      <c r="H138" s="150"/>
      <c r="I138" s="150"/>
      <c r="J138" s="150"/>
      <c r="K138" s="150"/>
      <c r="L138" s="150"/>
    </row>
    <row r="139" spans="4:12" ht="12.75">
      <c r="D139" s="99"/>
      <c r="E139" s="99"/>
      <c r="F139" s="150"/>
      <c r="G139" s="150"/>
      <c r="H139" s="150"/>
      <c r="I139" s="150"/>
      <c r="J139" s="150"/>
      <c r="K139" s="150"/>
      <c r="L139" s="150"/>
    </row>
    <row r="140" spans="4:12" ht="12.75">
      <c r="D140" s="99"/>
      <c r="E140" s="99"/>
      <c r="F140" s="150"/>
      <c r="G140" s="150"/>
      <c r="H140" s="150"/>
      <c r="I140" s="150"/>
      <c r="J140" s="150"/>
      <c r="K140" s="150"/>
      <c r="L140" s="150"/>
    </row>
    <row r="141" spans="4:12" ht="12.75">
      <c r="D141" s="99"/>
      <c r="E141" s="99"/>
      <c r="F141" s="150"/>
      <c r="G141" s="150"/>
      <c r="H141" s="150"/>
      <c r="I141" s="150"/>
      <c r="J141" s="150"/>
      <c r="K141" s="150"/>
      <c r="L141" s="150"/>
    </row>
    <row r="142" spans="4:12" ht="12.75">
      <c r="D142" s="99"/>
      <c r="E142" s="99"/>
      <c r="F142" s="150"/>
      <c r="G142" s="150"/>
      <c r="H142" s="150"/>
      <c r="I142" s="150"/>
      <c r="J142" s="150"/>
      <c r="K142" s="150"/>
      <c r="L142" s="150"/>
    </row>
    <row r="143" spans="4:12" ht="12.75">
      <c r="D143" s="99"/>
      <c r="E143" s="99"/>
      <c r="F143" s="150"/>
      <c r="G143" s="150"/>
      <c r="H143" s="150"/>
      <c r="I143" s="150"/>
      <c r="J143" s="150"/>
      <c r="K143" s="150"/>
      <c r="L143" s="150"/>
    </row>
    <row r="144" spans="4:12" ht="12.75">
      <c r="D144" s="99"/>
      <c r="E144" s="99"/>
      <c r="F144" s="150"/>
      <c r="G144" s="150"/>
      <c r="H144" s="150"/>
      <c r="I144" s="150"/>
      <c r="J144" s="150"/>
      <c r="K144" s="150"/>
      <c r="L144" s="150"/>
    </row>
    <row r="145" spans="4:12" ht="12.75">
      <c r="D145" s="99"/>
      <c r="E145" s="99"/>
      <c r="F145" s="150"/>
      <c r="G145" s="150"/>
      <c r="H145" s="150"/>
      <c r="I145" s="150"/>
      <c r="J145" s="150"/>
      <c r="K145" s="150"/>
      <c r="L145" s="150"/>
    </row>
  </sheetData>
  <mergeCells count="11">
    <mergeCell ref="A5:K5"/>
    <mergeCell ref="A8:A10"/>
    <mergeCell ref="B8:B10"/>
    <mergeCell ref="C8:C10"/>
    <mergeCell ref="D8:D10"/>
    <mergeCell ref="E8:E10"/>
    <mergeCell ref="F9:F10"/>
    <mergeCell ref="G9:K9"/>
    <mergeCell ref="L9:L10"/>
    <mergeCell ref="F8:M8"/>
    <mergeCell ref="A93:C93"/>
  </mergeCells>
  <printOptions/>
  <pageMargins left="0.67" right="0.16" top="0.76" bottom="0.6299212598425197" header="0.5118110236220472" footer="0.35433070866141736"/>
  <pageSetup horizontalDpi="600" verticalDpi="600" orientation="landscape" paperSize="9" r:id="rId2"/>
  <headerFooter alignWithMargins="0">
    <oddFooter>&amp;CStrona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S31"/>
  <sheetViews>
    <sheetView zoomScale="80" zoomScaleNormal="80" workbookViewId="0" topLeftCell="A1">
      <selection activeCell="Q2" sqref="Q2"/>
    </sheetView>
  </sheetViews>
  <sheetFormatPr defaultColWidth="9.00390625" defaultRowHeight="12.75"/>
  <cols>
    <col min="1" max="1" width="5.00390625" style="59" customWidth="1"/>
    <col min="2" max="2" width="6.75390625" style="59" customWidth="1"/>
    <col min="3" max="3" width="31.00390625" style="59" customWidth="1"/>
    <col min="4" max="4" width="8.00390625" style="65" hidden="1" customWidth="1"/>
    <col min="5" max="5" width="11.125" style="59" customWidth="1"/>
    <col min="6" max="6" width="11.625" style="59" hidden="1" customWidth="1"/>
    <col min="7" max="7" width="12.125" style="59" hidden="1" customWidth="1"/>
    <col min="8" max="8" width="11.875" style="63" customWidth="1"/>
    <col min="9" max="9" width="9.75390625" style="59" customWidth="1"/>
    <col min="10" max="10" width="9.625" style="59" customWidth="1"/>
    <col min="11" max="11" width="2.875" style="59" customWidth="1"/>
    <col min="12" max="12" width="10.875" style="59" customWidth="1"/>
    <col min="13" max="13" width="14.875" style="59" customWidth="1"/>
    <col min="14" max="14" width="10.00390625" style="59" hidden="1" customWidth="1"/>
    <col min="15" max="15" width="12.00390625" style="59" customWidth="1"/>
    <col min="16" max="16" width="11.625" style="59" customWidth="1"/>
    <col min="17" max="17" width="14.25390625" style="59" customWidth="1"/>
    <col min="18" max="18" width="9.125" style="59" customWidth="1"/>
    <col min="19" max="19" width="9.875" style="59" bestFit="1" customWidth="1"/>
    <col min="20" max="16384" width="9.125" style="59" customWidth="1"/>
  </cols>
  <sheetData>
    <row r="1" spans="13:17" ht="16.5" customHeight="1">
      <c r="M1" s="61"/>
      <c r="N1" s="61"/>
      <c r="O1" s="61"/>
      <c r="P1" s="61"/>
      <c r="Q1" s="48" t="s">
        <v>616</v>
      </c>
    </row>
    <row r="2" spans="13:17" ht="15" customHeight="1">
      <c r="M2" s="60"/>
      <c r="N2" s="60"/>
      <c r="O2" s="60"/>
      <c r="P2" s="60"/>
      <c r="Q2" s="60" t="s">
        <v>761</v>
      </c>
    </row>
    <row r="3" spans="13:17" ht="12" customHeight="1">
      <c r="M3" s="60"/>
      <c r="N3" s="60"/>
      <c r="O3" s="60"/>
      <c r="P3" s="60"/>
      <c r="Q3" s="60" t="s">
        <v>24</v>
      </c>
    </row>
    <row r="4" spans="14:16" ht="3.75" customHeight="1">
      <c r="N4" s="22"/>
      <c r="O4" s="22"/>
      <c r="P4" s="32"/>
    </row>
    <row r="5" spans="14:16" ht="1.5" customHeight="1">
      <c r="N5" s="22"/>
      <c r="O5" s="22"/>
      <c r="P5" s="32"/>
    </row>
    <row r="6" spans="14:16" ht="16.5" customHeight="1" hidden="1">
      <c r="N6" s="22"/>
      <c r="O6" s="22"/>
      <c r="P6" s="32"/>
    </row>
    <row r="7" spans="1:17" s="70" customFormat="1" ht="9" customHeight="1">
      <c r="A7" s="763"/>
      <c r="B7" s="763"/>
      <c r="C7" s="763"/>
      <c r="D7" s="763"/>
      <c r="E7" s="763"/>
      <c r="F7" s="763"/>
      <c r="G7" s="763"/>
      <c r="H7" s="763"/>
      <c r="I7" s="763"/>
      <c r="J7" s="763"/>
      <c r="K7" s="763"/>
      <c r="L7" s="763"/>
      <c r="M7" s="763"/>
      <c r="N7" s="763"/>
      <c r="O7" s="763"/>
      <c r="P7" s="763"/>
      <c r="Q7" s="763"/>
    </row>
    <row r="8" spans="1:17" s="70" customFormat="1" ht="17.25" customHeight="1">
      <c r="A8" s="763" t="s">
        <v>176</v>
      </c>
      <c r="B8" s="763"/>
      <c r="C8" s="763"/>
      <c r="D8" s="763"/>
      <c r="E8" s="763"/>
      <c r="F8" s="763"/>
      <c r="G8" s="763"/>
      <c r="H8" s="763"/>
      <c r="I8" s="763"/>
      <c r="J8" s="763"/>
      <c r="K8" s="763"/>
      <c r="L8" s="763"/>
      <c r="M8" s="763"/>
      <c r="N8" s="763"/>
      <c r="O8" s="763"/>
      <c r="P8" s="763"/>
      <c r="Q8" s="763"/>
    </row>
    <row r="9" ht="15" customHeight="1">
      <c r="Q9" s="72" t="s">
        <v>359</v>
      </c>
    </row>
    <row r="10" spans="1:17" ht="12.75" customHeight="1">
      <c r="A10" s="760" t="s">
        <v>295</v>
      </c>
      <c r="B10" s="760" t="s">
        <v>296</v>
      </c>
      <c r="C10" s="760" t="s">
        <v>218</v>
      </c>
      <c r="D10" s="760" t="s">
        <v>588</v>
      </c>
      <c r="E10" s="760" t="s">
        <v>219</v>
      </c>
      <c r="F10" s="760" t="s">
        <v>589</v>
      </c>
      <c r="G10" s="760" t="s">
        <v>590</v>
      </c>
      <c r="H10" s="765" t="s">
        <v>225</v>
      </c>
      <c r="I10" s="766"/>
      <c r="J10" s="766"/>
      <c r="K10" s="766"/>
      <c r="L10" s="766"/>
      <c r="M10" s="766"/>
      <c r="N10" s="766"/>
      <c r="O10" s="766"/>
      <c r="P10" s="766"/>
      <c r="Q10" s="760" t="s">
        <v>123</v>
      </c>
    </row>
    <row r="11" spans="1:17" ht="12.75">
      <c r="A11" s="764"/>
      <c r="B11" s="764"/>
      <c r="C11" s="764"/>
      <c r="D11" s="761"/>
      <c r="E11" s="764"/>
      <c r="F11" s="764"/>
      <c r="G11" s="764"/>
      <c r="H11" s="760" t="s">
        <v>92</v>
      </c>
      <c r="I11" s="760" t="s">
        <v>226</v>
      </c>
      <c r="J11" s="762"/>
      <c r="K11" s="762"/>
      <c r="L11" s="762"/>
      <c r="M11" s="762"/>
      <c r="N11" s="760" t="s">
        <v>591</v>
      </c>
      <c r="O11" s="760" t="s">
        <v>742</v>
      </c>
      <c r="P11" s="760" t="s">
        <v>91</v>
      </c>
      <c r="Q11" s="761"/>
    </row>
    <row r="12" spans="1:17" ht="52.5" customHeight="1">
      <c r="A12" s="764"/>
      <c r="B12" s="764"/>
      <c r="C12" s="764"/>
      <c r="D12" s="761"/>
      <c r="E12" s="764"/>
      <c r="F12" s="764"/>
      <c r="G12" s="764"/>
      <c r="H12" s="760"/>
      <c r="I12" s="243" t="s">
        <v>222</v>
      </c>
      <c r="J12" s="243" t="s">
        <v>592</v>
      </c>
      <c r="K12" s="760" t="s">
        <v>223</v>
      </c>
      <c r="L12" s="760"/>
      <c r="M12" s="243" t="s">
        <v>224</v>
      </c>
      <c r="N12" s="760"/>
      <c r="O12" s="760"/>
      <c r="P12" s="760"/>
      <c r="Q12" s="761"/>
    </row>
    <row r="13" spans="1:17" ht="12.75">
      <c r="A13" s="90" t="s">
        <v>303</v>
      </c>
      <c r="B13" s="90" t="s">
        <v>304</v>
      </c>
      <c r="C13" s="90" t="s">
        <v>305</v>
      </c>
      <c r="D13" s="90" t="s">
        <v>294</v>
      </c>
      <c r="E13" s="90" t="s">
        <v>294</v>
      </c>
      <c r="F13" s="90" t="s">
        <v>310</v>
      </c>
      <c r="G13" s="90" t="s">
        <v>314</v>
      </c>
      <c r="H13" s="90" t="s">
        <v>310</v>
      </c>
      <c r="I13" s="90" t="s">
        <v>314</v>
      </c>
      <c r="J13" s="90" t="s">
        <v>322</v>
      </c>
      <c r="K13" s="758" t="s">
        <v>331</v>
      </c>
      <c r="L13" s="759"/>
      <c r="M13" s="90" t="s">
        <v>388</v>
      </c>
      <c r="N13" s="90" t="s">
        <v>390</v>
      </c>
      <c r="O13" s="90" t="s">
        <v>390</v>
      </c>
      <c r="P13" s="90" t="s">
        <v>220</v>
      </c>
      <c r="Q13" s="90" t="s">
        <v>221</v>
      </c>
    </row>
    <row r="14" spans="1:17" ht="12.75">
      <c r="A14" s="312">
        <v>600</v>
      </c>
      <c r="B14" s="312">
        <v>60014</v>
      </c>
      <c r="C14" s="35" t="s">
        <v>406</v>
      </c>
      <c r="D14" s="258"/>
      <c r="E14" s="316">
        <f aca="true" t="shared" si="0" ref="E14:J14">SUM(E15:E25)</f>
        <v>38287151</v>
      </c>
      <c r="F14" s="316">
        <f t="shared" si="0"/>
        <v>0</v>
      </c>
      <c r="G14" s="316">
        <f t="shared" si="0"/>
        <v>0</v>
      </c>
      <c r="H14" s="316">
        <f t="shared" si="0"/>
        <v>11780564</v>
      </c>
      <c r="I14" s="316">
        <f t="shared" si="0"/>
        <v>987324</v>
      </c>
      <c r="J14" s="316">
        <f t="shared" si="0"/>
        <v>700000</v>
      </c>
      <c r="K14" s="779">
        <f>SUM(L21:L23)</f>
        <v>2992094</v>
      </c>
      <c r="L14" s="776"/>
      <c r="M14" s="316">
        <f>SUM(M21:M25)</f>
        <v>7101146</v>
      </c>
      <c r="N14" s="316" t="e">
        <f>SUM(#REF!)</f>
        <v>#REF!</v>
      </c>
      <c r="O14" s="316">
        <f>SUM(O15:O25)</f>
        <v>12030972</v>
      </c>
      <c r="P14" s="316">
        <f>SUM(P15:P25)</f>
        <v>12396680</v>
      </c>
      <c r="Q14" s="35"/>
    </row>
    <row r="15" spans="1:17" ht="38.25" customHeight="1">
      <c r="A15" s="558"/>
      <c r="B15" s="314"/>
      <c r="C15" s="784" t="s">
        <v>167</v>
      </c>
      <c r="D15" s="787"/>
      <c r="E15" s="793">
        <v>579204</v>
      </c>
      <c r="F15" s="790"/>
      <c r="G15" s="790"/>
      <c r="H15" s="793">
        <v>100000</v>
      </c>
      <c r="I15" s="793">
        <v>0</v>
      </c>
      <c r="J15" s="781">
        <v>100000</v>
      </c>
      <c r="K15" s="753"/>
      <c r="L15" s="750">
        <v>0</v>
      </c>
      <c r="M15" s="756">
        <v>0</v>
      </c>
      <c r="N15" s="793"/>
      <c r="O15" s="793">
        <v>120000</v>
      </c>
      <c r="P15" s="793">
        <v>158998</v>
      </c>
      <c r="Q15" s="774" t="s">
        <v>383</v>
      </c>
    </row>
    <row r="16" spans="1:17" ht="12.75">
      <c r="A16" s="180"/>
      <c r="B16" s="181"/>
      <c r="C16" s="785"/>
      <c r="D16" s="788"/>
      <c r="E16" s="794"/>
      <c r="F16" s="791"/>
      <c r="G16" s="791"/>
      <c r="H16" s="794"/>
      <c r="I16" s="794"/>
      <c r="J16" s="782"/>
      <c r="K16" s="754"/>
      <c r="L16" s="751"/>
      <c r="M16" s="741"/>
      <c r="N16" s="794"/>
      <c r="O16" s="794"/>
      <c r="P16" s="794"/>
      <c r="Q16" s="775"/>
    </row>
    <row r="17" spans="1:17" ht="15.75" customHeight="1">
      <c r="A17" s="180"/>
      <c r="B17" s="181"/>
      <c r="C17" s="786"/>
      <c r="D17" s="789"/>
      <c r="E17" s="780"/>
      <c r="F17" s="792"/>
      <c r="G17" s="792"/>
      <c r="H17" s="780"/>
      <c r="I17" s="780"/>
      <c r="J17" s="783"/>
      <c r="K17" s="755"/>
      <c r="L17" s="752"/>
      <c r="M17" s="742"/>
      <c r="N17" s="780"/>
      <c r="O17" s="780"/>
      <c r="P17" s="780"/>
      <c r="Q17" s="775"/>
    </row>
    <row r="18" spans="1:17" ht="12.75" customHeight="1">
      <c r="A18" s="180"/>
      <c r="B18" s="181"/>
      <c r="C18" s="784" t="s">
        <v>168</v>
      </c>
      <c r="D18" s="787"/>
      <c r="E18" s="793">
        <v>2890720</v>
      </c>
      <c r="F18" s="790"/>
      <c r="G18" s="790"/>
      <c r="H18" s="793">
        <v>50000</v>
      </c>
      <c r="I18" s="793">
        <v>0</v>
      </c>
      <c r="J18" s="781">
        <v>50000</v>
      </c>
      <c r="K18" s="753"/>
      <c r="L18" s="750">
        <v>0</v>
      </c>
      <c r="M18" s="756">
        <v>0</v>
      </c>
      <c r="N18" s="793"/>
      <c r="O18" s="793">
        <v>930000</v>
      </c>
      <c r="P18" s="793">
        <v>1910720</v>
      </c>
      <c r="Q18" s="775"/>
    </row>
    <row r="19" spans="1:17" ht="12.75" customHeight="1">
      <c r="A19" s="180"/>
      <c r="B19" s="181"/>
      <c r="C19" s="785"/>
      <c r="D19" s="788"/>
      <c r="E19" s="794"/>
      <c r="F19" s="791"/>
      <c r="G19" s="791"/>
      <c r="H19" s="794"/>
      <c r="I19" s="794"/>
      <c r="J19" s="782"/>
      <c r="K19" s="754"/>
      <c r="L19" s="751"/>
      <c r="M19" s="741"/>
      <c r="N19" s="794"/>
      <c r="O19" s="794"/>
      <c r="P19" s="794"/>
      <c r="Q19" s="775"/>
    </row>
    <row r="20" spans="1:17" ht="15.75" customHeight="1">
      <c r="A20" s="180"/>
      <c r="B20" s="181"/>
      <c r="C20" s="786"/>
      <c r="D20" s="789"/>
      <c r="E20" s="780"/>
      <c r="F20" s="792"/>
      <c r="G20" s="792"/>
      <c r="H20" s="780"/>
      <c r="I20" s="780"/>
      <c r="J20" s="783"/>
      <c r="K20" s="755"/>
      <c r="L20" s="752"/>
      <c r="M20" s="742"/>
      <c r="N20" s="780"/>
      <c r="O20" s="780"/>
      <c r="P20" s="780"/>
      <c r="Q20" s="775"/>
    </row>
    <row r="21" spans="1:17" ht="41.25" customHeight="1">
      <c r="A21" s="180"/>
      <c r="B21" s="181"/>
      <c r="C21" s="686" t="s">
        <v>97</v>
      </c>
      <c r="D21" s="592"/>
      <c r="E21" s="541">
        <v>14351171</v>
      </c>
      <c r="F21" s="619"/>
      <c r="G21" s="619"/>
      <c r="H21" s="594">
        <f>SUM(I21,L21,M21)</f>
        <v>2192158</v>
      </c>
      <c r="I21" s="584">
        <v>219216</v>
      </c>
      <c r="J21" s="584">
        <v>0</v>
      </c>
      <c r="K21" s="457" t="s">
        <v>735</v>
      </c>
      <c r="L21" s="457">
        <v>538613</v>
      </c>
      <c r="M21" s="585">
        <v>1434329</v>
      </c>
      <c r="N21" s="594"/>
      <c r="O21" s="594">
        <v>3714212</v>
      </c>
      <c r="P21" s="594">
        <v>6696962</v>
      </c>
      <c r="Q21" s="775"/>
    </row>
    <row r="22" spans="1:19" ht="70.5" customHeight="1">
      <c r="A22" s="180"/>
      <c r="B22" s="181"/>
      <c r="C22" s="604" t="s">
        <v>96</v>
      </c>
      <c r="D22" s="593"/>
      <c r="E22" s="456">
        <v>4223547</v>
      </c>
      <c r="F22" s="687"/>
      <c r="G22" s="687"/>
      <c r="H22" s="594">
        <f>SUM(I22,L22,M22)</f>
        <v>4183287</v>
      </c>
      <c r="I22" s="606">
        <f>351756-40260</f>
        <v>311496</v>
      </c>
      <c r="J22" s="606">
        <v>0</v>
      </c>
      <c r="K22" s="457" t="s">
        <v>735</v>
      </c>
      <c r="L22" s="457">
        <v>1409505</v>
      </c>
      <c r="M22" s="607">
        <v>2462286</v>
      </c>
      <c r="N22" s="457"/>
      <c r="O22" s="457">
        <v>0</v>
      </c>
      <c r="P22" s="457">
        <v>0</v>
      </c>
      <c r="Q22" s="775"/>
      <c r="S22" s="91"/>
    </row>
    <row r="23" spans="1:17" ht="66.75" customHeight="1">
      <c r="A23" s="621"/>
      <c r="B23" s="622"/>
      <c r="C23" s="686" t="s">
        <v>169</v>
      </c>
      <c r="D23" s="592"/>
      <c r="E23" s="541">
        <v>4721589</v>
      </c>
      <c r="F23" s="619"/>
      <c r="G23" s="619"/>
      <c r="H23" s="594">
        <f>SUM(I23,L23,M23)</f>
        <v>4705119</v>
      </c>
      <c r="I23" s="584">
        <f>452889+3723</f>
        <v>456612</v>
      </c>
      <c r="J23" s="584">
        <v>0</v>
      </c>
      <c r="K23" s="457" t="s">
        <v>735</v>
      </c>
      <c r="L23" s="457">
        <v>1043976</v>
      </c>
      <c r="M23" s="585">
        <v>3204531</v>
      </c>
      <c r="N23" s="594"/>
      <c r="O23" s="594">
        <v>0</v>
      </c>
      <c r="P23" s="594">
        <v>0</v>
      </c>
      <c r="Q23" s="757"/>
    </row>
    <row r="24" spans="1:17" ht="53.25" customHeight="1">
      <c r="A24" s="623">
        <v>600</v>
      </c>
      <c r="B24" s="623">
        <v>60014</v>
      </c>
      <c r="C24" s="605" t="s">
        <v>170</v>
      </c>
      <c r="D24" s="602"/>
      <c r="E24" s="456">
        <v>6020920</v>
      </c>
      <c r="F24" s="688"/>
      <c r="G24" s="688"/>
      <c r="H24" s="457">
        <f>SUM(I24:M24)</f>
        <v>480000</v>
      </c>
      <c r="I24" s="689"/>
      <c r="J24" s="689">
        <v>480000</v>
      </c>
      <c r="K24" s="457"/>
      <c r="L24" s="457">
        <v>0</v>
      </c>
      <c r="M24" s="690">
        <v>0</v>
      </c>
      <c r="N24" s="484"/>
      <c r="O24" s="456">
        <v>5466760</v>
      </c>
      <c r="P24" s="484">
        <v>0</v>
      </c>
      <c r="Q24" s="774" t="s">
        <v>383</v>
      </c>
    </row>
    <row r="25" spans="1:17" ht="71.25" customHeight="1">
      <c r="A25" s="180"/>
      <c r="B25" s="181"/>
      <c r="C25" s="686" t="s">
        <v>171</v>
      </c>
      <c r="D25" s="691"/>
      <c r="E25" s="541">
        <v>5500000</v>
      </c>
      <c r="F25" s="582"/>
      <c r="G25" s="582"/>
      <c r="H25" s="541">
        <v>70000</v>
      </c>
      <c r="I25" s="692">
        <v>0</v>
      </c>
      <c r="J25" s="692">
        <v>70000</v>
      </c>
      <c r="K25" s="594"/>
      <c r="L25" s="585">
        <v>0</v>
      </c>
      <c r="M25" s="685">
        <v>0</v>
      </c>
      <c r="N25" s="587"/>
      <c r="O25" s="541">
        <v>1800000</v>
      </c>
      <c r="P25" s="541">
        <v>3630000</v>
      </c>
      <c r="Q25" s="757"/>
    </row>
    <row r="26" spans="1:17" s="70" customFormat="1" ht="18" customHeight="1">
      <c r="A26" s="258">
        <v>801</v>
      </c>
      <c r="B26" s="258">
        <v>80130</v>
      </c>
      <c r="C26" s="100" t="s">
        <v>473</v>
      </c>
      <c r="D26" s="389"/>
      <c r="E26" s="316">
        <f aca="true" t="shared" si="1" ref="E26:J26">SUM(E27)</f>
        <v>3800000</v>
      </c>
      <c r="F26" s="316">
        <f t="shared" si="1"/>
        <v>0</v>
      </c>
      <c r="G26" s="316">
        <f t="shared" si="1"/>
        <v>0</v>
      </c>
      <c r="H26" s="316">
        <f t="shared" si="1"/>
        <v>1500000</v>
      </c>
      <c r="I26" s="316">
        <f t="shared" si="1"/>
        <v>1500000</v>
      </c>
      <c r="J26" s="316">
        <f t="shared" si="1"/>
        <v>0</v>
      </c>
      <c r="K26" s="779">
        <v>0</v>
      </c>
      <c r="L26" s="776"/>
      <c r="M26" s="316">
        <v>0</v>
      </c>
      <c r="N26" s="316" t="e">
        <f>SUM(#REF!)</f>
        <v>#REF!</v>
      </c>
      <c r="O26" s="316">
        <f>SUM(O27)</f>
        <v>1466560</v>
      </c>
      <c r="P26" s="316">
        <v>0</v>
      </c>
      <c r="Q26" s="100"/>
    </row>
    <row r="27" spans="1:17" ht="56.25" customHeight="1">
      <c r="A27" s="693"/>
      <c r="B27" s="694"/>
      <c r="C27" s="686" t="s">
        <v>95</v>
      </c>
      <c r="D27" s="691"/>
      <c r="E27" s="541">
        <v>3800000</v>
      </c>
      <c r="F27" s="582"/>
      <c r="G27" s="582"/>
      <c r="H27" s="594">
        <f>SUM(I27:M27)</f>
        <v>1500000</v>
      </c>
      <c r="I27" s="692">
        <v>1500000</v>
      </c>
      <c r="J27" s="692">
        <v>0</v>
      </c>
      <c r="K27" s="584"/>
      <c r="L27" s="594">
        <v>0</v>
      </c>
      <c r="M27" s="685">
        <v>0</v>
      </c>
      <c r="N27" s="587"/>
      <c r="O27" s="541">
        <v>1466560</v>
      </c>
      <c r="P27" s="541">
        <v>0</v>
      </c>
      <c r="Q27" s="530" t="s">
        <v>98</v>
      </c>
    </row>
    <row r="28" spans="1:17" ht="12.75">
      <c r="A28" s="777" t="s">
        <v>268</v>
      </c>
      <c r="B28" s="778"/>
      <c r="C28" s="767"/>
      <c r="D28" s="768"/>
      <c r="E28" s="466">
        <f aca="true" t="shared" si="2" ref="E28:J28">SUM(E26,E14)</f>
        <v>42087151</v>
      </c>
      <c r="F28" s="466">
        <f t="shared" si="2"/>
        <v>0</v>
      </c>
      <c r="G28" s="466">
        <f t="shared" si="2"/>
        <v>0</v>
      </c>
      <c r="H28" s="466">
        <f t="shared" si="2"/>
        <v>13280564</v>
      </c>
      <c r="I28" s="466">
        <f t="shared" si="2"/>
        <v>2487324</v>
      </c>
      <c r="J28" s="466">
        <f t="shared" si="2"/>
        <v>700000</v>
      </c>
      <c r="K28" s="769">
        <f>SUM(K14)</f>
        <v>2992094</v>
      </c>
      <c r="L28" s="770"/>
      <c r="M28" s="620">
        <f>SUM(M26,M14)</f>
        <v>7101146</v>
      </c>
      <c r="N28" s="620" t="e">
        <f>SUM(N26,N14)</f>
        <v>#REF!</v>
      </c>
      <c r="O28" s="620">
        <f>SUM(O26,O14)</f>
        <v>13497532</v>
      </c>
      <c r="P28" s="620">
        <f>SUM(P26,P14)</f>
        <v>12396680</v>
      </c>
      <c r="Q28" s="313" t="s">
        <v>617</v>
      </c>
    </row>
    <row r="29" spans="1:17" ht="21.75" customHeight="1">
      <c r="A29" s="771" t="s">
        <v>231</v>
      </c>
      <c r="B29" s="772"/>
      <c r="C29" s="772"/>
      <c r="D29" s="773"/>
      <c r="E29" s="466">
        <f aca="true" t="shared" si="3" ref="E29:J29">SUM(E28)</f>
        <v>42087151</v>
      </c>
      <c r="F29" s="466">
        <f t="shared" si="3"/>
        <v>0</v>
      </c>
      <c r="G29" s="466">
        <f t="shared" si="3"/>
        <v>0</v>
      </c>
      <c r="H29" s="466">
        <f t="shared" si="3"/>
        <v>13280564</v>
      </c>
      <c r="I29" s="466">
        <f t="shared" si="3"/>
        <v>2487324</v>
      </c>
      <c r="J29" s="466">
        <f t="shared" si="3"/>
        <v>700000</v>
      </c>
      <c r="K29" s="769">
        <f>SUM(K28)</f>
        <v>2992094</v>
      </c>
      <c r="L29" s="770"/>
      <c r="M29" s="466">
        <f>SUM(M28)</f>
        <v>7101146</v>
      </c>
      <c r="N29" s="466" t="e">
        <f>SUM(N28)</f>
        <v>#REF!</v>
      </c>
      <c r="O29" s="466">
        <f>SUM(O28)</f>
        <v>13497532</v>
      </c>
      <c r="P29" s="466">
        <f>SUM(P28)</f>
        <v>12396680</v>
      </c>
      <c r="Q29" s="313" t="s">
        <v>617</v>
      </c>
    </row>
    <row r="31" ht="12.75">
      <c r="A31" s="59" t="s">
        <v>119</v>
      </c>
    </row>
  </sheetData>
  <mergeCells count="54">
    <mergeCell ref="Q24:Q25"/>
    <mergeCell ref="L18:L20"/>
    <mergeCell ref="L15:L17"/>
    <mergeCell ref="K15:K17"/>
    <mergeCell ref="K18:K20"/>
    <mergeCell ref="M18:M20"/>
    <mergeCell ref="N18:N20"/>
    <mergeCell ref="M15:M17"/>
    <mergeCell ref="N15:N17"/>
    <mergeCell ref="O15:O17"/>
    <mergeCell ref="A7:Q7"/>
    <mergeCell ref="A8:Q8"/>
    <mergeCell ref="A10:A12"/>
    <mergeCell ref="B10:B12"/>
    <mergeCell ref="C10:C12"/>
    <mergeCell ref="D10:D12"/>
    <mergeCell ref="E10:E12"/>
    <mergeCell ref="F10:F12"/>
    <mergeCell ref="G10:G12"/>
    <mergeCell ref="H10:P10"/>
    <mergeCell ref="Q10:Q12"/>
    <mergeCell ref="H11:H12"/>
    <mergeCell ref="I11:M11"/>
    <mergeCell ref="N11:N12"/>
    <mergeCell ref="O11:O12"/>
    <mergeCell ref="P11:P12"/>
    <mergeCell ref="K12:L12"/>
    <mergeCell ref="K13:L13"/>
    <mergeCell ref="K14:L14"/>
    <mergeCell ref="C18:C20"/>
    <mergeCell ref="D18:D20"/>
    <mergeCell ref="E18:E20"/>
    <mergeCell ref="F18:F20"/>
    <mergeCell ref="G18:G20"/>
    <mergeCell ref="H18:H20"/>
    <mergeCell ref="I18:I20"/>
    <mergeCell ref="J18:J20"/>
    <mergeCell ref="P15:P17"/>
    <mergeCell ref="O18:O20"/>
    <mergeCell ref="P18:P20"/>
    <mergeCell ref="Q15:Q23"/>
    <mergeCell ref="K26:L26"/>
    <mergeCell ref="A28:D28"/>
    <mergeCell ref="K28:L28"/>
    <mergeCell ref="A29:D29"/>
    <mergeCell ref="K29:L29"/>
    <mergeCell ref="C15:C17"/>
    <mergeCell ref="D15:D17"/>
    <mergeCell ref="E15:E17"/>
    <mergeCell ref="F15:F17"/>
    <mergeCell ref="G15:G17"/>
    <mergeCell ref="H15:H17"/>
    <mergeCell ref="I15:I17"/>
    <mergeCell ref="J15:J17"/>
  </mergeCells>
  <printOptions/>
  <pageMargins left="0.77" right="0.16" top="1.34" bottom="0.7" header="0.16" footer="0.41"/>
  <pageSetup horizontalDpi="600" verticalDpi="600" orientation="landscape" paperSize="9" scale="90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O44"/>
  <sheetViews>
    <sheetView workbookViewId="0" topLeftCell="A1">
      <selection activeCell="O2" sqref="O2"/>
    </sheetView>
  </sheetViews>
  <sheetFormatPr defaultColWidth="9.00390625" defaultRowHeight="12.75"/>
  <cols>
    <col min="1" max="1" width="5.00390625" style="59" customWidth="1"/>
    <col min="2" max="2" width="6.75390625" style="59" customWidth="1"/>
    <col min="3" max="3" width="31.00390625" style="59" customWidth="1"/>
    <col min="4" max="4" width="8.00390625" style="65" hidden="1" customWidth="1"/>
    <col min="5" max="5" width="10.75390625" style="59" customWidth="1"/>
    <col min="6" max="6" width="11.625" style="59" hidden="1" customWidth="1"/>
    <col min="7" max="7" width="12.125" style="59" hidden="1" customWidth="1"/>
    <col min="8" max="8" width="10.25390625" style="63" customWidth="1"/>
    <col min="9" max="9" width="9.125" style="59" customWidth="1"/>
    <col min="10" max="10" width="9.625" style="59" customWidth="1"/>
    <col min="11" max="11" width="2.875" style="59" customWidth="1"/>
    <col min="12" max="12" width="11.375" style="59" customWidth="1"/>
    <col min="13" max="13" width="14.375" style="59" customWidth="1"/>
    <col min="14" max="14" width="10.00390625" style="59" hidden="1" customWidth="1"/>
    <col min="15" max="15" width="16.375" style="59" customWidth="1"/>
    <col min="16" max="16384" width="9.125" style="59" customWidth="1"/>
  </cols>
  <sheetData>
    <row r="1" spans="13:15" ht="16.5" customHeight="1">
      <c r="M1" s="61"/>
      <c r="N1" s="61"/>
      <c r="O1" s="48" t="s">
        <v>227</v>
      </c>
    </row>
    <row r="2" spans="13:15" ht="15" customHeight="1">
      <c r="M2" s="60"/>
      <c r="N2" s="60"/>
      <c r="O2" s="60" t="s">
        <v>761</v>
      </c>
    </row>
    <row r="3" spans="13:15" ht="12" customHeight="1">
      <c r="M3" s="60"/>
      <c r="N3" s="60"/>
      <c r="O3" s="60" t="s">
        <v>24</v>
      </c>
    </row>
    <row r="4" ht="3.75" customHeight="1">
      <c r="N4" s="22"/>
    </row>
    <row r="5" ht="1.5" customHeight="1">
      <c r="N5" s="22"/>
    </row>
    <row r="6" ht="16.5" customHeight="1" hidden="1">
      <c r="N6" s="22"/>
    </row>
    <row r="7" spans="1:15" s="70" customFormat="1" ht="5.25" customHeight="1">
      <c r="A7" s="763"/>
      <c r="B7" s="763"/>
      <c r="C7" s="763"/>
      <c r="D7" s="763"/>
      <c r="E7" s="763"/>
      <c r="F7" s="763"/>
      <c r="G7" s="763"/>
      <c r="H7" s="763"/>
      <c r="I7" s="763"/>
      <c r="J7" s="763"/>
      <c r="K7" s="763"/>
      <c r="L7" s="763"/>
      <c r="M7" s="763"/>
      <c r="N7" s="763"/>
      <c r="O7" s="763"/>
    </row>
    <row r="8" spans="1:15" s="70" customFormat="1" ht="17.25" customHeight="1">
      <c r="A8" s="763" t="s">
        <v>76</v>
      </c>
      <c r="B8" s="763"/>
      <c r="C8" s="763"/>
      <c r="D8" s="763"/>
      <c r="E8" s="763"/>
      <c r="F8" s="763"/>
      <c r="G8" s="763"/>
      <c r="H8" s="763"/>
      <c r="I8" s="763"/>
      <c r="J8" s="763"/>
      <c r="K8" s="763"/>
      <c r="L8" s="763"/>
      <c r="M8" s="763"/>
      <c r="N8" s="763"/>
      <c r="O8" s="763"/>
    </row>
    <row r="9" ht="13.5" customHeight="1">
      <c r="O9" s="72" t="s">
        <v>359</v>
      </c>
    </row>
    <row r="10" spans="1:15" s="38" customFormat="1" ht="12.75">
      <c r="A10" s="760" t="s">
        <v>295</v>
      </c>
      <c r="B10" s="760" t="s">
        <v>296</v>
      </c>
      <c r="C10" s="760" t="s">
        <v>753</v>
      </c>
      <c r="D10" s="760" t="s">
        <v>588</v>
      </c>
      <c r="E10" s="760" t="s">
        <v>219</v>
      </c>
      <c r="F10" s="760" t="s">
        <v>589</v>
      </c>
      <c r="G10" s="760" t="s">
        <v>590</v>
      </c>
      <c r="H10" s="765" t="s">
        <v>225</v>
      </c>
      <c r="I10" s="828"/>
      <c r="J10" s="828"/>
      <c r="K10" s="828"/>
      <c r="L10" s="828"/>
      <c r="M10" s="828"/>
      <c r="N10" s="828"/>
      <c r="O10" s="760" t="s">
        <v>123</v>
      </c>
    </row>
    <row r="11" spans="1:15" s="73" customFormat="1" ht="12.75" customHeight="1">
      <c r="A11" s="764"/>
      <c r="B11" s="764"/>
      <c r="C11" s="764"/>
      <c r="D11" s="761"/>
      <c r="E11" s="764"/>
      <c r="F11" s="764"/>
      <c r="G11" s="764"/>
      <c r="H11" s="760" t="s">
        <v>92</v>
      </c>
      <c r="I11" s="760" t="s">
        <v>226</v>
      </c>
      <c r="J11" s="829"/>
      <c r="K11" s="829"/>
      <c r="L11" s="829"/>
      <c r="M11" s="829"/>
      <c r="N11" s="760" t="s">
        <v>591</v>
      </c>
      <c r="O11" s="761"/>
    </row>
    <row r="12" spans="1:15" s="73" customFormat="1" ht="48">
      <c r="A12" s="764"/>
      <c r="B12" s="764"/>
      <c r="C12" s="764"/>
      <c r="D12" s="761"/>
      <c r="E12" s="764"/>
      <c r="F12" s="764"/>
      <c r="G12" s="764"/>
      <c r="H12" s="760"/>
      <c r="I12" s="243" t="s">
        <v>222</v>
      </c>
      <c r="J12" s="243" t="s">
        <v>592</v>
      </c>
      <c r="K12" s="830" t="s">
        <v>704</v>
      </c>
      <c r="L12" s="831"/>
      <c r="M12" s="243" t="s">
        <v>224</v>
      </c>
      <c r="N12" s="760"/>
      <c r="O12" s="761"/>
    </row>
    <row r="13" spans="1:15" s="73" customFormat="1" ht="12.75">
      <c r="A13" s="90" t="s">
        <v>303</v>
      </c>
      <c r="B13" s="90" t="s">
        <v>304</v>
      </c>
      <c r="C13" s="90" t="s">
        <v>305</v>
      </c>
      <c r="D13" s="90" t="s">
        <v>294</v>
      </c>
      <c r="E13" s="90" t="s">
        <v>294</v>
      </c>
      <c r="F13" s="90" t="s">
        <v>310</v>
      </c>
      <c r="G13" s="90" t="s">
        <v>314</v>
      </c>
      <c r="H13" s="90" t="s">
        <v>310</v>
      </c>
      <c r="I13" s="90" t="s">
        <v>314</v>
      </c>
      <c r="J13" s="90" t="s">
        <v>322</v>
      </c>
      <c r="K13" s="758" t="s">
        <v>331</v>
      </c>
      <c r="L13" s="759"/>
      <c r="M13" s="90" t="s">
        <v>388</v>
      </c>
      <c r="N13" s="90" t="s">
        <v>390</v>
      </c>
      <c r="O13" s="90" t="s">
        <v>221</v>
      </c>
    </row>
    <row r="14" spans="1:15" s="64" customFormat="1" ht="12.75">
      <c r="A14" s="595">
        <v>600</v>
      </c>
      <c r="B14" s="595">
        <v>60014</v>
      </c>
      <c r="C14" s="100" t="s">
        <v>406</v>
      </c>
      <c r="D14" s="389"/>
      <c r="E14" s="316">
        <f aca="true" t="shared" si="0" ref="E14:J14">SUM(E16:E20)</f>
        <v>1850042</v>
      </c>
      <c r="F14" s="316">
        <f t="shared" si="0"/>
        <v>0</v>
      </c>
      <c r="G14" s="316">
        <f t="shared" si="0"/>
        <v>0</v>
      </c>
      <c r="H14" s="316">
        <f t="shared" si="0"/>
        <v>1850042</v>
      </c>
      <c r="I14" s="316">
        <f t="shared" si="0"/>
        <v>935542</v>
      </c>
      <c r="J14" s="316">
        <f t="shared" si="0"/>
        <v>0</v>
      </c>
      <c r="K14" s="779">
        <f>SUM(L16:L19)</f>
        <v>914500</v>
      </c>
      <c r="L14" s="776"/>
      <c r="M14" s="316">
        <f>SUM(M15:M15)</f>
        <v>0</v>
      </c>
      <c r="N14" s="316">
        <f>SUM(N15:N15)</f>
        <v>0</v>
      </c>
      <c r="O14" s="100"/>
    </row>
    <row r="15" spans="1:15" s="64" customFormat="1" ht="7.5" customHeight="1" hidden="1">
      <c r="A15" s="596"/>
      <c r="B15" s="597"/>
      <c r="C15" s="557"/>
      <c r="D15" s="531"/>
      <c r="E15" s="587"/>
      <c r="F15" s="587"/>
      <c r="G15" s="587"/>
      <c r="H15" s="587"/>
      <c r="I15" s="587"/>
      <c r="J15" s="587"/>
      <c r="K15" s="755"/>
      <c r="L15" s="832"/>
      <c r="M15" s="587"/>
      <c r="N15" s="587"/>
      <c r="O15" s="531"/>
    </row>
    <row r="16" spans="1:15" s="64" customFormat="1" ht="22.5" customHeight="1">
      <c r="A16" s="596"/>
      <c r="B16" s="597"/>
      <c r="C16" s="843" t="s">
        <v>99</v>
      </c>
      <c r="D16" s="531"/>
      <c r="E16" s="838">
        <v>1365000</v>
      </c>
      <c r="F16" s="457"/>
      <c r="G16" s="457"/>
      <c r="H16" s="839">
        <f>SUM(I16,L16,L17)</f>
        <v>1365000</v>
      </c>
      <c r="I16" s="839">
        <v>682500</v>
      </c>
      <c r="J16" s="839">
        <v>0</v>
      </c>
      <c r="K16" s="457" t="s">
        <v>94</v>
      </c>
      <c r="L16" s="457">
        <v>682500</v>
      </c>
      <c r="M16" s="838">
        <v>0</v>
      </c>
      <c r="N16" s="541"/>
      <c r="O16" s="840" t="s">
        <v>593</v>
      </c>
    </row>
    <row r="17" spans="1:15" s="64" customFormat="1" ht="23.25" customHeight="1" hidden="1">
      <c r="A17" s="596"/>
      <c r="B17" s="597"/>
      <c r="C17" s="843"/>
      <c r="D17" s="531"/>
      <c r="E17" s="838"/>
      <c r="F17" s="457"/>
      <c r="G17" s="457"/>
      <c r="H17" s="839"/>
      <c r="I17" s="839"/>
      <c r="J17" s="839"/>
      <c r="K17" s="457" t="s">
        <v>735</v>
      </c>
      <c r="L17" s="457">
        <v>0</v>
      </c>
      <c r="M17" s="838"/>
      <c r="N17" s="541"/>
      <c r="O17" s="841"/>
    </row>
    <row r="18" spans="1:15" s="64" customFormat="1" ht="21.75" customHeight="1">
      <c r="A18" s="596"/>
      <c r="B18" s="597"/>
      <c r="C18" s="843" t="s">
        <v>177</v>
      </c>
      <c r="D18" s="531"/>
      <c r="E18" s="838">
        <v>464000</v>
      </c>
      <c r="F18" s="457"/>
      <c r="G18" s="457"/>
      <c r="H18" s="839">
        <f>SUM(I18,L18,L19)</f>
        <v>464000</v>
      </c>
      <c r="I18" s="839">
        <v>232000</v>
      </c>
      <c r="J18" s="839">
        <v>0</v>
      </c>
      <c r="K18" s="457" t="s">
        <v>94</v>
      </c>
      <c r="L18" s="457">
        <v>232000</v>
      </c>
      <c r="M18" s="838">
        <v>0</v>
      </c>
      <c r="N18" s="541"/>
      <c r="O18" s="841"/>
    </row>
    <row r="19" spans="1:15" s="64" customFormat="1" ht="23.25" customHeight="1" hidden="1">
      <c r="A19" s="596"/>
      <c r="B19" s="597"/>
      <c r="C19" s="843"/>
      <c r="D19" s="531"/>
      <c r="E19" s="838"/>
      <c r="F19" s="457"/>
      <c r="G19" s="457"/>
      <c r="H19" s="839"/>
      <c r="I19" s="839"/>
      <c r="J19" s="839"/>
      <c r="K19" s="457" t="s">
        <v>735</v>
      </c>
      <c r="L19" s="457">
        <v>0</v>
      </c>
      <c r="M19" s="838"/>
      <c r="N19" s="541"/>
      <c r="O19" s="841"/>
    </row>
    <row r="20" spans="1:15" s="64" customFormat="1" ht="13.5" customHeight="1">
      <c r="A20" s="596"/>
      <c r="B20" s="597"/>
      <c r="C20" s="613" t="s">
        <v>178</v>
      </c>
      <c r="D20" s="531"/>
      <c r="E20" s="456">
        <v>21042</v>
      </c>
      <c r="F20" s="456"/>
      <c r="G20" s="456"/>
      <c r="H20" s="456">
        <v>21042</v>
      </c>
      <c r="I20" s="456">
        <v>21042</v>
      </c>
      <c r="J20" s="456">
        <v>0</v>
      </c>
      <c r="K20" s="457"/>
      <c r="L20" s="457">
        <v>0</v>
      </c>
      <c r="M20" s="456">
        <v>0</v>
      </c>
      <c r="N20" s="541"/>
      <c r="O20" s="842"/>
    </row>
    <row r="21" spans="1:15" s="86" customFormat="1" ht="12.75">
      <c r="A21" s="389">
        <v>750</v>
      </c>
      <c r="B21" s="389">
        <v>75020</v>
      </c>
      <c r="C21" s="100" t="s">
        <v>429</v>
      </c>
      <c r="D21" s="389"/>
      <c r="E21" s="316">
        <f aca="true" t="shared" si="1" ref="E21:J21">SUM(E22:E30)</f>
        <v>445500</v>
      </c>
      <c r="F21" s="316">
        <f t="shared" si="1"/>
        <v>445500</v>
      </c>
      <c r="G21" s="316">
        <f t="shared" si="1"/>
        <v>445500</v>
      </c>
      <c r="H21" s="316">
        <f t="shared" si="1"/>
        <v>445500</v>
      </c>
      <c r="I21" s="316">
        <f t="shared" si="1"/>
        <v>445500</v>
      </c>
      <c r="J21" s="316">
        <f t="shared" si="1"/>
        <v>0</v>
      </c>
      <c r="K21" s="779">
        <v>0</v>
      </c>
      <c r="L21" s="776"/>
      <c r="M21" s="316">
        <f>SUM(M22:M30)</f>
        <v>0</v>
      </c>
      <c r="N21" s="316" t="e">
        <f>SUM(#REF!)</f>
        <v>#REF!</v>
      </c>
      <c r="O21" s="389"/>
    </row>
    <row r="22" spans="1:15" s="73" customFormat="1" ht="12.75">
      <c r="A22" s="182"/>
      <c r="B22" s="175"/>
      <c r="C22" s="588" t="s">
        <v>82</v>
      </c>
      <c r="D22" s="531"/>
      <c r="E22" s="456">
        <v>60000</v>
      </c>
      <c r="F22" s="456">
        <v>60000</v>
      </c>
      <c r="G22" s="456">
        <v>60000</v>
      </c>
      <c r="H22" s="456">
        <v>60000</v>
      </c>
      <c r="I22" s="456">
        <v>60000</v>
      </c>
      <c r="J22" s="456">
        <v>0</v>
      </c>
      <c r="K22" s="833">
        <v>0</v>
      </c>
      <c r="L22" s="834"/>
      <c r="M22" s="457">
        <v>0</v>
      </c>
      <c r="N22" s="582"/>
      <c r="O22" s="835" t="s">
        <v>93</v>
      </c>
    </row>
    <row r="23" spans="1:15" s="73" customFormat="1" ht="12.75">
      <c r="A23" s="182"/>
      <c r="B23" s="175"/>
      <c r="C23" s="588" t="s">
        <v>77</v>
      </c>
      <c r="D23" s="531"/>
      <c r="E23" s="456">
        <v>30000</v>
      </c>
      <c r="F23" s="456">
        <v>30000</v>
      </c>
      <c r="G23" s="456">
        <v>30000</v>
      </c>
      <c r="H23" s="456">
        <v>30000</v>
      </c>
      <c r="I23" s="456">
        <v>30000</v>
      </c>
      <c r="J23" s="456">
        <v>0</v>
      </c>
      <c r="K23" s="833">
        <v>0</v>
      </c>
      <c r="L23" s="834"/>
      <c r="M23" s="457">
        <v>0</v>
      </c>
      <c r="N23" s="582"/>
      <c r="O23" s="835"/>
    </row>
    <row r="24" spans="1:15" s="73" customFormat="1" ht="12.75">
      <c r="A24" s="182"/>
      <c r="B24" s="175"/>
      <c r="C24" s="588" t="s">
        <v>78</v>
      </c>
      <c r="D24" s="531"/>
      <c r="E24" s="456">
        <v>25000</v>
      </c>
      <c r="F24" s="456">
        <v>25000</v>
      </c>
      <c r="G24" s="456">
        <v>25000</v>
      </c>
      <c r="H24" s="456">
        <v>25000</v>
      </c>
      <c r="I24" s="456">
        <v>25000</v>
      </c>
      <c r="J24" s="456">
        <v>0</v>
      </c>
      <c r="K24" s="833">
        <v>0</v>
      </c>
      <c r="L24" s="834"/>
      <c r="M24" s="457">
        <v>0</v>
      </c>
      <c r="N24" s="582"/>
      <c r="O24" s="835"/>
    </row>
    <row r="25" spans="1:15" s="73" customFormat="1" ht="22.5">
      <c r="A25" s="182"/>
      <c r="B25" s="175"/>
      <c r="C25" s="588" t="s">
        <v>112</v>
      </c>
      <c r="D25" s="531"/>
      <c r="E25" s="456">
        <v>85000</v>
      </c>
      <c r="F25" s="456">
        <v>85000</v>
      </c>
      <c r="G25" s="456">
        <v>85000</v>
      </c>
      <c r="H25" s="456">
        <v>85000</v>
      </c>
      <c r="I25" s="456">
        <v>85000</v>
      </c>
      <c r="J25" s="456">
        <v>0</v>
      </c>
      <c r="K25" s="833">
        <v>0</v>
      </c>
      <c r="L25" s="834"/>
      <c r="M25" s="457">
        <v>0</v>
      </c>
      <c r="N25" s="582"/>
      <c r="O25" s="835"/>
    </row>
    <row r="26" spans="1:15" s="73" customFormat="1" ht="33.75">
      <c r="A26" s="182"/>
      <c r="B26" s="175"/>
      <c r="C26" s="588" t="s">
        <v>113</v>
      </c>
      <c r="D26" s="531"/>
      <c r="E26" s="456">
        <v>205000</v>
      </c>
      <c r="F26" s="456">
        <v>205000</v>
      </c>
      <c r="G26" s="456">
        <v>205000</v>
      </c>
      <c r="H26" s="456">
        <v>205000</v>
      </c>
      <c r="I26" s="456">
        <v>205000</v>
      </c>
      <c r="J26" s="456">
        <v>0</v>
      </c>
      <c r="K26" s="833">
        <v>0</v>
      </c>
      <c r="L26" s="834"/>
      <c r="M26" s="457">
        <v>0</v>
      </c>
      <c r="N26" s="582"/>
      <c r="O26" s="835"/>
    </row>
    <row r="27" spans="1:15" s="73" customFormat="1" ht="12.75">
      <c r="A27" s="182"/>
      <c r="B27" s="175"/>
      <c r="C27" s="588" t="s">
        <v>114</v>
      </c>
      <c r="D27" s="531"/>
      <c r="E27" s="456">
        <v>15000</v>
      </c>
      <c r="F27" s="456">
        <v>15000</v>
      </c>
      <c r="G27" s="456">
        <v>15000</v>
      </c>
      <c r="H27" s="456">
        <v>15000</v>
      </c>
      <c r="I27" s="456">
        <v>15000</v>
      </c>
      <c r="J27" s="456">
        <v>0</v>
      </c>
      <c r="K27" s="833">
        <v>0</v>
      </c>
      <c r="L27" s="834"/>
      <c r="M27" s="457">
        <v>0</v>
      </c>
      <c r="N27" s="582"/>
      <c r="O27" s="835"/>
    </row>
    <row r="28" spans="1:15" s="73" customFormat="1" ht="12.75">
      <c r="A28" s="182"/>
      <c r="B28" s="175"/>
      <c r="C28" s="588" t="s">
        <v>79</v>
      </c>
      <c r="D28" s="531"/>
      <c r="E28" s="456">
        <v>9000</v>
      </c>
      <c r="F28" s="456">
        <v>9000</v>
      </c>
      <c r="G28" s="456">
        <v>9000</v>
      </c>
      <c r="H28" s="456">
        <v>9000</v>
      </c>
      <c r="I28" s="456">
        <v>9000</v>
      </c>
      <c r="J28" s="456">
        <v>0</v>
      </c>
      <c r="K28" s="833">
        <v>0</v>
      </c>
      <c r="L28" s="834"/>
      <c r="M28" s="457">
        <v>0</v>
      </c>
      <c r="N28" s="582"/>
      <c r="O28" s="835"/>
    </row>
    <row r="29" spans="1:15" s="73" customFormat="1" ht="12.75">
      <c r="A29" s="182"/>
      <c r="B29" s="175"/>
      <c r="C29" s="588" t="s">
        <v>88</v>
      </c>
      <c r="D29" s="531"/>
      <c r="E29" s="456">
        <v>10000</v>
      </c>
      <c r="F29" s="456">
        <v>10000</v>
      </c>
      <c r="G29" s="456">
        <v>10000</v>
      </c>
      <c r="H29" s="456">
        <v>10000</v>
      </c>
      <c r="I29" s="456">
        <v>10000</v>
      </c>
      <c r="J29" s="456">
        <v>0</v>
      </c>
      <c r="K29" s="833">
        <v>0</v>
      </c>
      <c r="L29" s="834"/>
      <c r="M29" s="457">
        <v>0</v>
      </c>
      <c r="N29" s="582"/>
      <c r="O29" s="835"/>
    </row>
    <row r="30" spans="1:15" s="73" customFormat="1" ht="12.75">
      <c r="A30" s="615"/>
      <c r="B30" s="616"/>
      <c r="C30" s="588" t="s">
        <v>90</v>
      </c>
      <c r="D30" s="531"/>
      <c r="E30" s="456">
        <v>6500</v>
      </c>
      <c r="F30" s="456">
        <v>6500</v>
      </c>
      <c r="G30" s="456">
        <v>6500</v>
      </c>
      <c r="H30" s="456">
        <v>6500</v>
      </c>
      <c r="I30" s="456">
        <v>6500</v>
      </c>
      <c r="J30" s="456">
        <v>0</v>
      </c>
      <c r="K30" s="833">
        <v>0</v>
      </c>
      <c r="L30" s="834"/>
      <c r="M30" s="457">
        <v>0</v>
      </c>
      <c r="N30" s="582"/>
      <c r="O30" s="836"/>
    </row>
    <row r="31" spans="1:15" s="73" customFormat="1" ht="28.5" customHeight="1">
      <c r="A31" s="389">
        <v>754</v>
      </c>
      <c r="B31" s="389">
        <v>75411</v>
      </c>
      <c r="C31" s="617" t="s">
        <v>447</v>
      </c>
      <c r="D31" s="527"/>
      <c r="E31" s="540">
        <f>SUM(E32:E32)</f>
        <v>580000</v>
      </c>
      <c r="F31" s="540">
        <f>SUM(F32:F32)</f>
        <v>0</v>
      </c>
      <c r="G31" s="540">
        <f>SUM(G32:G32)</f>
        <v>0</v>
      </c>
      <c r="H31" s="540">
        <f>SUM(H32:H32)</f>
        <v>580000</v>
      </c>
      <c r="I31" s="316">
        <f>SUM(I32:I32)</f>
        <v>0</v>
      </c>
      <c r="J31" s="316">
        <f>SUM(J32)</f>
        <v>180000</v>
      </c>
      <c r="K31" s="545" t="s">
        <v>735</v>
      </c>
      <c r="L31" s="540">
        <f>SUM(L32:L32)</f>
        <v>400000</v>
      </c>
      <c r="M31" s="316">
        <f>SUM(M32)</f>
        <v>0</v>
      </c>
      <c r="N31" s="316">
        <f>SUM(N32)</f>
        <v>0</v>
      </c>
      <c r="O31" s="608"/>
    </row>
    <row r="32" spans="1:15" s="73" customFormat="1" ht="48">
      <c r="A32" s="618"/>
      <c r="B32" s="598"/>
      <c r="C32" s="599" t="s">
        <v>115</v>
      </c>
      <c r="D32" s="600"/>
      <c r="E32" s="456">
        <v>580000</v>
      </c>
      <c r="F32" s="456"/>
      <c r="G32" s="456"/>
      <c r="H32" s="456">
        <v>580000</v>
      </c>
      <c r="I32" s="456">
        <v>0</v>
      </c>
      <c r="J32" s="456">
        <v>180000</v>
      </c>
      <c r="K32" s="315" t="s">
        <v>735</v>
      </c>
      <c r="L32" s="456">
        <v>400000</v>
      </c>
      <c r="M32" s="458">
        <v>0</v>
      </c>
      <c r="N32" s="542"/>
      <c r="O32" s="608" t="s">
        <v>752</v>
      </c>
    </row>
    <row r="33" spans="1:15" s="86" customFormat="1" ht="25.5">
      <c r="A33" s="389">
        <v>754</v>
      </c>
      <c r="B33" s="581">
        <v>75414</v>
      </c>
      <c r="C33" s="617" t="s">
        <v>447</v>
      </c>
      <c r="D33" s="389"/>
      <c r="E33" s="316">
        <f aca="true" t="shared" si="2" ref="E33:J35">SUM(E34)</f>
        <v>10000</v>
      </c>
      <c r="F33" s="316">
        <f t="shared" si="2"/>
        <v>0</v>
      </c>
      <c r="G33" s="316">
        <f t="shared" si="2"/>
        <v>0</v>
      </c>
      <c r="H33" s="316">
        <f t="shared" si="2"/>
        <v>10000</v>
      </c>
      <c r="I33" s="316">
        <f t="shared" si="2"/>
        <v>0</v>
      </c>
      <c r="J33" s="316">
        <f t="shared" si="2"/>
        <v>10000</v>
      </c>
      <c r="K33" s="833">
        <v>0</v>
      </c>
      <c r="L33" s="834"/>
      <c r="M33" s="316">
        <f>SUM(M34)</f>
        <v>0</v>
      </c>
      <c r="N33" s="316">
        <f>SUM(N34)</f>
        <v>0</v>
      </c>
      <c r="O33" s="243"/>
    </row>
    <row r="34" spans="1:15" s="86" customFormat="1" ht="24">
      <c r="A34" s="556"/>
      <c r="B34" s="581"/>
      <c r="C34" s="588" t="s">
        <v>80</v>
      </c>
      <c r="D34" s="527"/>
      <c r="E34" s="456">
        <v>10000</v>
      </c>
      <c r="F34" s="456"/>
      <c r="G34" s="456"/>
      <c r="H34" s="456">
        <v>10000</v>
      </c>
      <c r="I34" s="456">
        <v>0</v>
      </c>
      <c r="J34" s="456">
        <v>10000</v>
      </c>
      <c r="K34" s="833">
        <v>0</v>
      </c>
      <c r="L34" s="834"/>
      <c r="M34" s="457">
        <v>0</v>
      </c>
      <c r="N34" s="456"/>
      <c r="O34" s="608" t="s">
        <v>89</v>
      </c>
    </row>
    <row r="35" spans="1:15" s="86" customFormat="1" ht="12.75">
      <c r="A35" s="556">
        <v>801</v>
      </c>
      <c r="B35" s="556">
        <v>80130</v>
      </c>
      <c r="C35" s="111" t="s">
        <v>473</v>
      </c>
      <c r="D35" s="389"/>
      <c r="E35" s="316">
        <f t="shared" si="2"/>
        <v>7000</v>
      </c>
      <c r="F35" s="316">
        <f t="shared" si="2"/>
        <v>0</v>
      </c>
      <c r="G35" s="316">
        <f t="shared" si="2"/>
        <v>0</v>
      </c>
      <c r="H35" s="316">
        <f t="shared" si="2"/>
        <v>7000</v>
      </c>
      <c r="I35" s="316">
        <f t="shared" si="2"/>
        <v>7000</v>
      </c>
      <c r="J35" s="316">
        <f t="shared" si="2"/>
        <v>0</v>
      </c>
      <c r="K35" s="833">
        <v>0</v>
      </c>
      <c r="L35" s="834"/>
      <c r="M35" s="316">
        <f>SUM(M36)</f>
        <v>0</v>
      </c>
      <c r="N35" s="316">
        <f>SUM(N36)</f>
        <v>0</v>
      </c>
      <c r="O35" s="614"/>
    </row>
    <row r="36" spans="1:15" s="86" customFormat="1" ht="12.75">
      <c r="A36" s="543"/>
      <c r="B36" s="241"/>
      <c r="C36" s="586" t="s">
        <v>179</v>
      </c>
      <c r="D36" s="527"/>
      <c r="E36" s="456">
        <v>7000</v>
      </c>
      <c r="F36" s="456"/>
      <c r="G36" s="456"/>
      <c r="H36" s="456">
        <v>7000</v>
      </c>
      <c r="I36" s="456">
        <v>7000</v>
      </c>
      <c r="J36" s="456">
        <v>0</v>
      </c>
      <c r="K36" s="833">
        <v>0</v>
      </c>
      <c r="L36" s="834"/>
      <c r="M36" s="457">
        <v>0</v>
      </c>
      <c r="N36" s="456"/>
      <c r="O36" s="608" t="s">
        <v>180</v>
      </c>
    </row>
    <row r="37" spans="1:15" s="86" customFormat="1" ht="12.75">
      <c r="A37" s="389">
        <v>853</v>
      </c>
      <c r="B37" s="389">
        <v>85333</v>
      </c>
      <c r="C37" s="100" t="s">
        <v>83</v>
      </c>
      <c r="D37" s="389"/>
      <c r="E37" s="316">
        <f aca="true" t="shared" si="3" ref="E37:J37">SUM(E38:E39)</f>
        <v>14000</v>
      </c>
      <c r="F37" s="316">
        <f t="shared" si="3"/>
        <v>0</v>
      </c>
      <c r="G37" s="316">
        <f t="shared" si="3"/>
        <v>0</v>
      </c>
      <c r="H37" s="316">
        <f t="shared" si="3"/>
        <v>14000</v>
      </c>
      <c r="I37" s="316">
        <f t="shared" si="3"/>
        <v>0</v>
      </c>
      <c r="J37" s="316">
        <f t="shared" si="3"/>
        <v>14000</v>
      </c>
      <c r="K37" s="833">
        <v>0</v>
      </c>
      <c r="L37" s="834"/>
      <c r="M37" s="316">
        <f>SUM(M38)</f>
        <v>0</v>
      </c>
      <c r="N37" s="316">
        <f>SUM(N38)</f>
        <v>0</v>
      </c>
      <c r="O37" s="614"/>
    </row>
    <row r="38" spans="1:15" s="86" customFormat="1" ht="12.75">
      <c r="A38" s="543"/>
      <c r="B38" s="241"/>
      <c r="C38" s="599" t="s">
        <v>179</v>
      </c>
      <c r="D38" s="527"/>
      <c r="E38" s="456">
        <v>8000</v>
      </c>
      <c r="F38" s="456"/>
      <c r="G38" s="456"/>
      <c r="H38" s="456">
        <v>8000</v>
      </c>
      <c r="I38" s="456">
        <v>0</v>
      </c>
      <c r="J38" s="456">
        <v>8000</v>
      </c>
      <c r="K38" s="833">
        <v>0</v>
      </c>
      <c r="L38" s="834"/>
      <c r="M38" s="457">
        <v>0</v>
      </c>
      <c r="N38" s="456"/>
      <c r="O38" s="837" t="s">
        <v>84</v>
      </c>
    </row>
    <row r="39" spans="1:15" s="86" customFormat="1" ht="12.75">
      <c r="A39" s="583"/>
      <c r="B39" s="556"/>
      <c r="C39" s="601" t="s">
        <v>116</v>
      </c>
      <c r="D39" s="602"/>
      <c r="E39" s="456">
        <v>6000</v>
      </c>
      <c r="F39" s="456"/>
      <c r="G39" s="456"/>
      <c r="H39" s="456">
        <v>6000</v>
      </c>
      <c r="I39" s="456">
        <v>0</v>
      </c>
      <c r="J39" s="456">
        <v>6000</v>
      </c>
      <c r="K39" s="833">
        <v>0</v>
      </c>
      <c r="L39" s="834"/>
      <c r="M39" s="457">
        <v>0</v>
      </c>
      <c r="N39" s="456"/>
      <c r="O39" s="836"/>
    </row>
    <row r="40" spans="1:15" s="101" customFormat="1" ht="22.5" customHeight="1">
      <c r="A40" s="777" t="s">
        <v>268</v>
      </c>
      <c r="B40" s="778"/>
      <c r="C40" s="767"/>
      <c r="D40" s="768"/>
      <c r="E40" s="466">
        <f aca="true" t="shared" si="4" ref="E40:J40">SUM(E37,E35,E33,E31,E21,E14)</f>
        <v>2906542</v>
      </c>
      <c r="F40" s="466">
        <f t="shared" si="4"/>
        <v>445500</v>
      </c>
      <c r="G40" s="466">
        <f t="shared" si="4"/>
        <v>445500</v>
      </c>
      <c r="H40" s="466">
        <f t="shared" si="4"/>
        <v>2906542</v>
      </c>
      <c r="I40" s="466">
        <f t="shared" si="4"/>
        <v>1388042</v>
      </c>
      <c r="J40" s="466">
        <f t="shared" si="4"/>
        <v>204000</v>
      </c>
      <c r="K40" s="779">
        <f>SUM(L31,K14)</f>
        <v>1314500</v>
      </c>
      <c r="L40" s="776"/>
      <c r="M40" s="466">
        <v>0</v>
      </c>
      <c r="N40" s="466" t="e">
        <f>SUM(N37,N31,N21,#REF!,N14)</f>
        <v>#REF!</v>
      </c>
      <c r="O40" s="313" t="s">
        <v>617</v>
      </c>
    </row>
    <row r="42" ht="12.75">
      <c r="A42" s="59" t="s">
        <v>120</v>
      </c>
    </row>
    <row r="43" ht="12.75">
      <c r="A43" s="59" t="s">
        <v>121</v>
      </c>
    </row>
    <row r="44" ht="12.75">
      <c r="A44" s="59" t="s">
        <v>122</v>
      </c>
    </row>
  </sheetData>
  <mergeCells count="52">
    <mergeCell ref="J16:J17"/>
    <mergeCell ref="C18:C19"/>
    <mergeCell ref="E18:E19"/>
    <mergeCell ref="H18:H19"/>
    <mergeCell ref="C16:C17"/>
    <mergeCell ref="E16:E17"/>
    <mergeCell ref="H16:H17"/>
    <mergeCell ref="I16:I17"/>
    <mergeCell ref="O38:O39"/>
    <mergeCell ref="M16:M17"/>
    <mergeCell ref="I18:I19"/>
    <mergeCell ref="J18:J19"/>
    <mergeCell ref="M18:M19"/>
    <mergeCell ref="O16:O20"/>
    <mergeCell ref="K35:L35"/>
    <mergeCell ref="K36:L36"/>
    <mergeCell ref="K37:L37"/>
    <mergeCell ref="K33:L33"/>
    <mergeCell ref="K38:L38"/>
    <mergeCell ref="A40:D40"/>
    <mergeCell ref="K40:L40"/>
    <mergeCell ref="K29:L29"/>
    <mergeCell ref="K30:L30"/>
    <mergeCell ref="K39:L39"/>
    <mergeCell ref="K34:L34"/>
    <mergeCell ref="O22:O30"/>
    <mergeCell ref="K25:L25"/>
    <mergeCell ref="K26:L26"/>
    <mergeCell ref="K27:L27"/>
    <mergeCell ref="K28:L28"/>
    <mergeCell ref="K21:L21"/>
    <mergeCell ref="K22:L22"/>
    <mergeCell ref="K23:L23"/>
    <mergeCell ref="K24:L24"/>
    <mergeCell ref="K15:L15"/>
    <mergeCell ref="K13:L13"/>
    <mergeCell ref="K14:L14"/>
    <mergeCell ref="O10:O12"/>
    <mergeCell ref="H11:H12"/>
    <mergeCell ref="I11:M11"/>
    <mergeCell ref="N11:N12"/>
    <mergeCell ref="K12:L12"/>
    <mergeCell ref="A7:O7"/>
    <mergeCell ref="A8:O8"/>
    <mergeCell ref="A10:A12"/>
    <mergeCell ref="B10:B12"/>
    <mergeCell ref="C10:C12"/>
    <mergeCell ref="D10:D12"/>
    <mergeCell ref="E10:E12"/>
    <mergeCell ref="F10:F12"/>
    <mergeCell ref="G10:G12"/>
    <mergeCell ref="H10:N10"/>
  </mergeCells>
  <printOptions/>
  <pageMargins left="1.12" right="0.2" top="1.21" bottom="0.62" header="0.5" footer="0.38"/>
  <pageSetup horizontalDpi="600" verticalDpi="600" orientation="landscape" paperSize="9" r:id="rId2"/>
  <headerFooter alignWithMargins="0">
    <oddFooter>&amp;CStrona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R131"/>
  <sheetViews>
    <sheetView workbookViewId="0" topLeftCell="D1">
      <selection activeCell="Q2" sqref="Q2"/>
    </sheetView>
  </sheetViews>
  <sheetFormatPr defaultColWidth="9.00390625" defaultRowHeight="12.75"/>
  <cols>
    <col min="1" max="1" width="3.625" style="113" bestFit="1" customWidth="1"/>
    <col min="2" max="2" width="19.125" style="113" customWidth="1"/>
    <col min="3" max="3" width="11.125" style="113" customWidth="1"/>
    <col min="4" max="4" width="9.375" style="113" customWidth="1"/>
    <col min="5" max="5" width="10.25390625" style="113" customWidth="1"/>
    <col min="6" max="6" width="8.375" style="113" customWidth="1"/>
    <col min="7" max="7" width="8.625" style="113" customWidth="1"/>
    <col min="8" max="8" width="8.375" style="113" customWidth="1"/>
    <col min="9" max="9" width="8.75390625" style="113" customWidth="1"/>
    <col min="10" max="10" width="8.00390625" style="113" customWidth="1"/>
    <col min="11" max="11" width="7.00390625" style="113" bestFit="1" customWidth="1"/>
    <col min="12" max="12" width="8.875" style="113" bestFit="1" customWidth="1"/>
    <col min="13" max="13" width="8.125" style="113" customWidth="1"/>
    <col min="14" max="14" width="10.625" style="113" customWidth="1"/>
    <col min="15" max="15" width="7.75390625" style="113" customWidth="1"/>
    <col min="16" max="16" width="7.00390625" style="113" bestFit="1" customWidth="1"/>
    <col min="17" max="17" width="7.875" style="113" bestFit="1" customWidth="1"/>
    <col min="18" max="16384" width="10.25390625" style="113" customWidth="1"/>
  </cols>
  <sheetData>
    <row r="1" ht="12">
      <c r="Q1" s="115" t="s">
        <v>647</v>
      </c>
    </row>
    <row r="2" ht="14.25">
      <c r="Q2" s="60" t="s">
        <v>761</v>
      </c>
    </row>
    <row r="3" ht="14.25">
      <c r="Q3" s="60" t="s">
        <v>24</v>
      </c>
    </row>
    <row r="4" ht="11.25" customHeight="1"/>
    <row r="5" spans="1:17" ht="14.25" customHeight="1">
      <c r="A5" s="869" t="s">
        <v>230</v>
      </c>
      <c r="B5" s="869"/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69"/>
      <c r="P5" s="869"/>
      <c r="Q5" s="869"/>
    </row>
    <row r="7" spans="1:17" s="183" customFormat="1" ht="9.75" customHeight="1">
      <c r="A7" s="866" t="s">
        <v>300</v>
      </c>
      <c r="B7" s="866" t="s">
        <v>648</v>
      </c>
      <c r="C7" s="865" t="s">
        <v>649</v>
      </c>
      <c r="D7" s="865" t="s">
        <v>650</v>
      </c>
      <c r="E7" s="865" t="s">
        <v>651</v>
      </c>
      <c r="F7" s="866" t="s">
        <v>652</v>
      </c>
      <c r="G7" s="866"/>
      <c r="H7" s="866" t="s">
        <v>318</v>
      </c>
      <c r="I7" s="866"/>
      <c r="J7" s="866"/>
      <c r="K7" s="866"/>
      <c r="L7" s="866"/>
      <c r="M7" s="866"/>
      <c r="N7" s="866"/>
      <c r="O7" s="866"/>
      <c r="P7" s="866"/>
      <c r="Q7" s="866"/>
    </row>
    <row r="8" spans="1:17" s="183" customFormat="1" ht="9" customHeight="1">
      <c r="A8" s="866"/>
      <c r="B8" s="866"/>
      <c r="C8" s="865"/>
      <c r="D8" s="865"/>
      <c r="E8" s="865"/>
      <c r="F8" s="865" t="s">
        <v>653</v>
      </c>
      <c r="G8" s="865" t="s">
        <v>654</v>
      </c>
      <c r="H8" s="866" t="s">
        <v>228</v>
      </c>
      <c r="I8" s="866"/>
      <c r="J8" s="866"/>
      <c r="K8" s="866"/>
      <c r="L8" s="866"/>
      <c r="M8" s="866"/>
      <c r="N8" s="866"/>
      <c r="O8" s="866"/>
      <c r="P8" s="866"/>
      <c r="Q8" s="866"/>
    </row>
    <row r="9" spans="1:17" s="183" customFormat="1" ht="9.75" customHeight="1">
      <c r="A9" s="866"/>
      <c r="B9" s="866"/>
      <c r="C9" s="865"/>
      <c r="D9" s="865"/>
      <c r="E9" s="865"/>
      <c r="F9" s="865"/>
      <c r="G9" s="865"/>
      <c r="H9" s="865" t="s">
        <v>124</v>
      </c>
      <c r="I9" s="866" t="s">
        <v>655</v>
      </c>
      <c r="J9" s="866"/>
      <c r="K9" s="866"/>
      <c r="L9" s="866"/>
      <c r="M9" s="866"/>
      <c r="N9" s="866"/>
      <c r="O9" s="866"/>
      <c r="P9" s="866"/>
      <c r="Q9" s="866"/>
    </row>
    <row r="10" spans="1:17" s="183" customFormat="1" ht="12" customHeight="1">
      <c r="A10" s="866"/>
      <c r="B10" s="866"/>
      <c r="C10" s="865"/>
      <c r="D10" s="865"/>
      <c r="E10" s="865"/>
      <c r="F10" s="865"/>
      <c r="G10" s="865"/>
      <c r="H10" s="865"/>
      <c r="I10" s="866" t="s">
        <v>656</v>
      </c>
      <c r="J10" s="866"/>
      <c r="K10" s="866"/>
      <c r="L10" s="866"/>
      <c r="M10" s="866" t="s">
        <v>654</v>
      </c>
      <c r="N10" s="866"/>
      <c r="O10" s="866"/>
      <c r="P10" s="866"/>
      <c r="Q10" s="866"/>
    </row>
    <row r="11" spans="1:17" s="183" customFormat="1" ht="9" customHeight="1">
      <c r="A11" s="866"/>
      <c r="B11" s="866"/>
      <c r="C11" s="865"/>
      <c r="D11" s="865"/>
      <c r="E11" s="865"/>
      <c r="F11" s="865"/>
      <c r="G11" s="865"/>
      <c r="H11" s="865"/>
      <c r="I11" s="865" t="s">
        <v>657</v>
      </c>
      <c r="J11" s="866" t="s">
        <v>658</v>
      </c>
      <c r="K11" s="866"/>
      <c r="L11" s="866"/>
      <c r="M11" s="865" t="s">
        <v>659</v>
      </c>
      <c r="N11" s="865" t="s">
        <v>658</v>
      </c>
      <c r="O11" s="865"/>
      <c r="P11" s="865"/>
      <c r="Q11" s="865"/>
    </row>
    <row r="12" spans="1:17" s="183" customFormat="1" ht="34.5" customHeight="1">
      <c r="A12" s="866"/>
      <c r="B12" s="866"/>
      <c r="C12" s="865"/>
      <c r="D12" s="865"/>
      <c r="E12" s="865"/>
      <c r="F12" s="865"/>
      <c r="G12" s="865"/>
      <c r="H12" s="865"/>
      <c r="I12" s="865"/>
      <c r="J12" s="460" t="s">
        <v>660</v>
      </c>
      <c r="K12" s="460" t="s">
        <v>661</v>
      </c>
      <c r="L12" s="460" t="s">
        <v>662</v>
      </c>
      <c r="M12" s="865"/>
      <c r="N12" s="461" t="s">
        <v>663</v>
      </c>
      <c r="O12" s="460" t="s">
        <v>660</v>
      </c>
      <c r="P12" s="460" t="s">
        <v>661</v>
      </c>
      <c r="Q12" s="460" t="s">
        <v>664</v>
      </c>
    </row>
    <row r="13" spans="1:17" s="183" customFormat="1" ht="11.25">
      <c r="A13" s="462">
        <v>1</v>
      </c>
      <c r="B13" s="462">
        <v>2</v>
      </c>
      <c r="C13" s="463">
        <v>3</v>
      </c>
      <c r="D13" s="463">
        <v>4</v>
      </c>
      <c r="E13" s="463">
        <v>5</v>
      </c>
      <c r="F13" s="463">
        <v>6</v>
      </c>
      <c r="G13" s="463">
        <v>7</v>
      </c>
      <c r="H13" s="463">
        <v>8</v>
      </c>
      <c r="I13" s="463">
        <v>9</v>
      </c>
      <c r="J13" s="463">
        <v>10</v>
      </c>
      <c r="K13" s="463">
        <v>11</v>
      </c>
      <c r="L13" s="463">
        <v>12</v>
      </c>
      <c r="M13" s="463">
        <v>13</v>
      </c>
      <c r="N13" s="463">
        <v>14</v>
      </c>
      <c r="O13" s="463">
        <v>15</v>
      </c>
      <c r="P13" s="463">
        <v>16</v>
      </c>
      <c r="Q13" s="463">
        <v>17</v>
      </c>
    </row>
    <row r="14" spans="1:17" s="522" customFormat="1" ht="11.25">
      <c r="A14" s="464">
        <v>1</v>
      </c>
      <c r="B14" s="465" t="s">
        <v>665</v>
      </c>
      <c r="C14" s="863" t="s">
        <v>666</v>
      </c>
      <c r="D14" s="864"/>
      <c r="E14" s="521">
        <f>SUM(E19,E37,E82,E45,E55,E28,E73,E64)</f>
        <v>26351647</v>
      </c>
      <c r="F14" s="521">
        <f>SUM(F19,F37,F82,F45,F55,F28,F73,F64)</f>
        <v>9317328</v>
      </c>
      <c r="G14" s="521">
        <f>SUM(G19,G37,G82,G45,G55,G28,G73,G64)</f>
        <v>17034319</v>
      </c>
      <c r="H14" s="521">
        <f>SUM(H19,H37,H82,H45,H55,H28,H73,H64)</f>
        <v>11231834</v>
      </c>
      <c r="I14" s="521">
        <f aca="true" t="shared" si="0" ref="I14:Q14">SUM(I19,I37,I82,I45,I55,I28,I73,I64)</f>
        <v>4130688</v>
      </c>
      <c r="J14" s="521">
        <f t="shared" si="0"/>
        <v>50000</v>
      </c>
      <c r="K14" s="521">
        <f t="shared" si="0"/>
        <v>0</v>
      </c>
      <c r="L14" s="521">
        <f t="shared" si="0"/>
        <v>4080688</v>
      </c>
      <c r="M14" s="521">
        <f t="shared" si="0"/>
        <v>7101146</v>
      </c>
      <c r="N14" s="521">
        <f t="shared" si="0"/>
        <v>0</v>
      </c>
      <c r="O14" s="521">
        <f t="shared" si="0"/>
        <v>0</v>
      </c>
      <c r="P14" s="521">
        <f t="shared" si="0"/>
        <v>0</v>
      </c>
      <c r="Q14" s="521">
        <f t="shared" si="0"/>
        <v>7101146</v>
      </c>
    </row>
    <row r="15" spans="1:17" ht="12.75">
      <c r="A15" s="847" t="s">
        <v>667</v>
      </c>
      <c r="B15" s="297" t="s">
        <v>668</v>
      </c>
      <c r="C15" s="849" t="s">
        <v>125</v>
      </c>
      <c r="D15" s="850"/>
      <c r="E15" s="850"/>
      <c r="F15" s="850"/>
      <c r="G15" s="850"/>
      <c r="H15" s="850"/>
      <c r="I15" s="850"/>
      <c r="J15" s="850"/>
      <c r="K15" s="850"/>
      <c r="L15" s="850"/>
      <c r="M15" s="850"/>
      <c r="N15" s="850"/>
      <c r="O15" s="850"/>
      <c r="P15" s="850"/>
      <c r="Q15" s="850"/>
    </row>
    <row r="16" spans="1:17" ht="12.75">
      <c r="A16" s="848"/>
      <c r="B16" s="297" t="s">
        <v>669</v>
      </c>
      <c r="C16" s="851" t="s">
        <v>736</v>
      </c>
      <c r="D16" s="852"/>
      <c r="E16" s="852"/>
      <c r="F16" s="852"/>
      <c r="G16" s="852"/>
      <c r="H16" s="852"/>
      <c r="I16" s="852"/>
      <c r="J16" s="852"/>
      <c r="K16" s="852"/>
      <c r="L16" s="852"/>
      <c r="M16" s="852"/>
      <c r="N16" s="852"/>
      <c r="O16" s="852"/>
      <c r="P16" s="852"/>
      <c r="Q16" s="853"/>
    </row>
    <row r="17" spans="1:17" ht="12.75">
      <c r="A17" s="848"/>
      <c r="B17" s="297" t="s">
        <v>670</v>
      </c>
      <c r="C17" s="851" t="s">
        <v>737</v>
      </c>
      <c r="D17" s="852"/>
      <c r="E17" s="852"/>
      <c r="F17" s="852"/>
      <c r="G17" s="852"/>
      <c r="H17" s="852"/>
      <c r="I17" s="852"/>
      <c r="J17" s="852"/>
      <c r="K17" s="852"/>
      <c r="L17" s="852"/>
      <c r="M17" s="852"/>
      <c r="N17" s="852"/>
      <c r="O17" s="852"/>
      <c r="P17" s="852"/>
      <c r="Q17" s="853"/>
    </row>
    <row r="18" spans="1:18" ht="12.75" customHeight="1">
      <c r="A18" s="848"/>
      <c r="B18" s="297" t="s">
        <v>671</v>
      </c>
      <c r="C18" s="844" t="s">
        <v>741</v>
      </c>
      <c r="D18" s="845"/>
      <c r="E18" s="845"/>
      <c r="F18" s="845"/>
      <c r="G18" s="845"/>
      <c r="H18" s="845"/>
      <c r="I18" s="845"/>
      <c r="J18" s="845"/>
      <c r="K18" s="845"/>
      <c r="L18" s="845"/>
      <c r="M18" s="845"/>
      <c r="N18" s="845"/>
      <c r="O18" s="845"/>
      <c r="P18" s="845"/>
      <c r="Q18" s="846"/>
      <c r="R18" s="523"/>
    </row>
    <row r="19" spans="1:17" ht="11.25">
      <c r="A19" s="848"/>
      <c r="B19" s="297" t="s">
        <v>672</v>
      </c>
      <c r="C19" s="317"/>
      <c r="D19" s="311"/>
      <c r="E19" s="651">
        <f>SUM(F19:G19)</f>
        <v>14351171</v>
      </c>
      <c r="F19" s="651">
        <f>SUM(F20:F23)+39410+24400+4270</f>
        <v>5216245</v>
      </c>
      <c r="G19" s="651">
        <f>SUM(G20:G23)</f>
        <v>9134926</v>
      </c>
      <c r="H19" s="298">
        <f>SUM(I19,M19)</f>
        <v>2192158</v>
      </c>
      <c r="I19" s="298">
        <f>J19+K19+L19</f>
        <v>757829</v>
      </c>
      <c r="J19" s="298">
        <v>0</v>
      </c>
      <c r="K19" s="298">
        <v>0</v>
      </c>
      <c r="L19" s="298">
        <v>757829</v>
      </c>
      <c r="M19" s="298">
        <f>N19+O19+P19+Q19</f>
        <v>1434329</v>
      </c>
      <c r="N19" s="298">
        <v>0</v>
      </c>
      <c r="O19" s="298">
        <v>0</v>
      </c>
      <c r="P19" s="298">
        <v>0</v>
      </c>
      <c r="Q19" s="298">
        <v>1434329</v>
      </c>
    </row>
    <row r="20" spans="1:18" ht="11.25" customHeight="1">
      <c r="A20" s="848"/>
      <c r="B20" s="297" t="s">
        <v>173</v>
      </c>
      <c r="C20" s="857">
        <v>23</v>
      </c>
      <c r="D20" s="859" t="s">
        <v>684</v>
      </c>
      <c r="E20" s="651">
        <f>SUM(F20,G20)</f>
        <v>2192158</v>
      </c>
      <c r="F20" s="651">
        <f>SUM(I19)</f>
        <v>757829</v>
      </c>
      <c r="G20" s="651">
        <f>SUM(M19)</f>
        <v>1434329</v>
      </c>
      <c r="H20" s="861"/>
      <c r="I20" s="861"/>
      <c r="J20" s="861"/>
      <c r="K20" s="861"/>
      <c r="L20" s="861"/>
      <c r="M20" s="861"/>
      <c r="N20" s="861"/>
      <c r="O20" s="861"/>
      <c r="P20" s="861"/>
      <c r="Q20" s="861"/>
      <c r="R20" s="523"/>
    </row>
    <row r="21" spans="1:17" ht="11.25">
      <c r="A21" s="848"/>
      <c r="B21" s="297" t="s">
        <v>229</v>
      </c>
      <c r="C21" s="858"/>
      <c r="D21" s="860"/>
      <c r="E21" s="651">
        <f>SUM(F21,G21)</f>
        <v>3714212</v>
      </c>
      <c r="F21" s="651">
        <v>1500542</v>
      </c>
      <c r="G21" s="651">
        <v>2213670</v>
      </c>
      <c r="H21" s="862"/>
      <c r="I21" s="862"/>
      <c r="J21" s="862"/>
      <c r="K21" s="862"/>
      <c r="L21" s="862"/>
      <c r="M21" s="862"/>
      <c r="N21" s="862"/>
      <c r="O21" s="862"/>
      <c r="P21" s="862"/>
      <c r="Q21" s="862"/>
    </row>
    <row r="22" spans="1:17" ht="11.25">
      <c r="A22" s="848"/>
      <c r="B22" s="297" t="s">
        <v>738</v>
      </c>
      <c r="C22" s="858"/>
      <c r="D22" s="860"/>
      <c r="E22" s="651">
        <f>SUM(F22,G22)</f>
        <v>6696962</v>
      </c>
      <c r="F22" s="651">
        <v>2354198</v>
      </c>
      <c r="G22" s="651">
        <v>4342764</v>
      </c>
      <c r="H22" s="862"/>
      <c r="I22" s="862"/>
      <c r="J22" s="862"/>
      <c r="K22" s="862"/>
      <c r="L22" s="862"/>
      <c r="M22" s="862"/>
      <c r="N22" s="862"/>
      <c r="O22" s="862"/>
      <c r="P22" s="862"/>
      <c r="Q22" s="862"/>
    </row>
    <row r="23" spans="1:17" ht="11.25">
      <c r="A23" s="848"/>
      <c r="B23" s="297" t="s">
        <v>739</v>
      </c>
      <c r="C23" s="858"/>
      <c r="D23" s="860"/>
      <c r="E23" s="651">
        <f>SUM(F23,G23)</f>
        <v>1679759</v>
      </c>
      <c r="F23" s="651">
        <v>535596</v>
      </c>
      <c r="G23" s="651">
        <v>1144163</v>
      </c>
      <c r="H23" s="862"/>
      <c r="I23" s="862"/>
      <c r="J23" s="862"/>
      <c r="K23" s="862"/>
      <c r="L23" s="862"/>
      <c r="M23" s="862"/>
      <c r="N23" s="862"/>
      <c r="O23" s="862"/>
      <c r="P23" s="862"/>
      <c r="Q23" s="862"/>
    </row>
    <row r="24" spans="1:17" s="183" customFormat="1" ht="12.75">
      <c r="A24" s="847" t="s">
        <v>126</v>
      </c>
      <c r="B24" s="299" t="s">
        <v>668</v>
      </c>
      <c r="C24" s="849" t="s">
        <v>125</v>
      </c>
      <c r="D24" s="850"/>
      <c r="E24" s="850"/>
      <c r="F24" s="850"/>
      <c r="G24" s="850"/>
      <c r="H24" s="850"/>
      <c r="I24" s="850"/>
      <c r="J24" s="850"/>
      <c r="K24" s="850"/>
      <c r="L24" s="850"/>
      <c r="M24" s="850"/>
      <c r="N24" s="850"/>
      <c r="O24" s="850"/>
      <c r="P24" s="850"/>
      <c r="Q24" s="850"/>
    </row>
    <row r="25" spans="1:17" s="183" customFormat="1" ht="15" customHeight="1">
      <c r="A25" s="848"/>
      <c r="B25" s="299" t="s">
        <v>669</v>
      </c>
      <c r="C25" s="851" t="s">
        <v>736</v>
      </c>
      <c r="D25" s="852"/>
      <c r="E25" s="852"/>
      <c r="F25" s="852"/>
      <c r="G25" s="852"/>
      <c r="H25" s="852"/>
      <c r="I25" s="852"/>
      <c r="J25" s="852"/>
      <c r="K25" s="852"/>
      <c r="L25" s="852"/>
      <c r="M25" s="852"/>
      <c r="N25" s="852"/>
      <c r="O25" s="852"/>
      <c r="P25" s="852"/>
      <c r="Q25" s="853"/>
    </row>
    <row r="26" spans="1:17" s="183" customFormat="1" ht="11.25" customHeight="1">
      <c r="A26" s="848"/>
      <c r="B26" s="299" t="s">
        <v>670</v>
      </c>
      <c r="C26" s="851" t="s">
        <v>127</v>
      </c>
      <c r="D26" s="852"/>
      <c r="E26" s="852"/>
      <c r="F26" s="852"/>
      <c r="G26" s="852"/>
      <c r="H26" s="852"/>
      <c r="I26" s="852"/>
      <c r="J26" s="852"/>
      <c r="K26" s="852"/>
      <c r="L26" s="852"/>
      <c r="M26" s="852"/>
      <c r="N26" s="852"/>
      <c r="O26" s="852"/>
      <c r="P26" s="852"/>
      <c r="Q26" s="853"/>
    </row>
    <row r="27" spans="1:17" s="183" customFormat="1" ht="12.75">
      <c r="A27" s="848"/>
      <c r="B27" s="299" t="s">
        <v>671</v>
      </c>
      <c r="C27" s="851" t="s">
        <v>128</v>
      </c>
      <c r="D27" s="852"/>
      <c r="E27" s="852"/>
      <c r="F27" s="852"/>
      <c r="G27" s="852"/>
      <c r="H27" s="852"/>
      <c r="I27" s="852"/>
      <c r="J27" s="852"/>
      <c r="K27" s="852"/>
      <c r="L27" s="852"/>
      <c r="M27" s="852"/>
      <c r="N27" s="852"/>
      <c r="O27" s="852"/>
      <c r="P27" s="852"/>
      <c r="Q27" s="853"/>
    </row>
    <row r="28" spans="1:17" s="183" customFormat="1" ht="11.25">
      <c r="A28" s="848"/>
      <c r="B28" s="299" t="s">
        <v>672</v>
      </c>
      <c r="C28" s="184"/>
      <c r="D28" s="184"/>
      <c r="E28" s="298">
        <f>SUM(F28:G28)</f>
        <v>4721589</v>
      </c>
      <c r="F28" s="298">
        <f>SUM(F29:F30)+5490+10980</f>
        <v>1517058</v>
      </c>
      <c r="G28" s="298">
        <f>SUM(G29:G30)</f>
        <v>3204531</v>
      </c>
      <c r="H28" s="298">
        <f>SUM(I28,M28)</f>
        <v>4705119</v>
      </c>
      <c r="I28" s="298">
        <f>J28+K28+L28</f>
        <v>1500588</v>
      </c>
      <c r="J28" s="298">
        <v>0</v>
      </c>
      <c r="K28" s="298">
        <v>0</v>
      </c>
      <c r="L28" s="298">
        <f>1043976+456612</f>
        <v>1500588</v>
      </c>
      <c r="M28" s="298">
        <f>N28+O28+P28+Q28</f>
        <v>3204531</v>
      </c>
      <c r="N28" s="298">
        <v>0</v>
      </c>
      <c r="O28" s="298"/>
      <c r="P28" s="298">
        <v>0</v>
      </c>
      <c r="Q28" s="298">
        <v>3204531</v>
      </c>
    </row>
    <row r="29" spans="1:17" s="183" customFormat="1" ht="11.25" customHeight="1">
      <c r="A29" s="848"/>
      <c r="B29" s="297" t="s">
        <v>173</v>
      </c>
      <c r="C29" s="857">
        <v>23</v>
      </c>
      <c r="D29" s="859" t="s">
        <v>684</v>
      </c>
      <c r="E29" s="298">
        <f>SUM(F29,G29)</f>
        <v>4705119</v>
      </c>
      <c r="F29" s="298">
        <f>SUM(L28)</f>
        <v>1500588</v>
      </c>
      <c r="G29" s="298">
        <f>SUM(M28)</f>
        <v>3204531</v>
      </c>
      <c r="H29" s="854"/>
      <c r="I29" s="854"/>
      <c r="J29" s="854"/>
      <c r="K29" s="854"/>
      <c r="L29" s="854"/>
      <c r="M29" s="854"/>
      <c r="N29" s="854"/>
      <c r="O29" s="854"/>
      <c r="P29" s="854"/>
      <c r="Q29" s="854"/>
    </row>
    <row r="30" spans="1:17" s="183" customFormat="1" ht="11.25">
      <c r="A30" s="848"/>
      <c r="B30" s="297" t="s">
        <v>229</v>
      </c>
      <c r="C30" s="858"/>
      <c r="D30" s="860"/>
      <c r="E30" s="298">
        <f>SUM(F30,G30)</f>
        <v>0</v>
      </c>
      <c r="F30" s="298">
        <v>0</v>
      </c>
      <c r="G30" s="298">
        <v>0</v>
      </c>
      <c r="H30" s="855"/>
      <c r="I30" s="855"/>
      <c r="J30" s="855"/>
      <c r="K30" s="855"/>
      <c r="L30" s="855"/>
      <c r="M30" s="855"/>
      <c r="N30" s="855"/>
      <c r="O30" s="855"/>
      <c r="P30" s="855"/>
      <c r="Q30" s="855"/>
    </row>
    <row r="31" spans="1:17" s="183" customFormat="1" ht="11.25">
      <c r="A31" s="848"/>
      <c r="B31" s="297" t="s">
        <v>738</v>
      </c>
      <c r="C31" s="858"/>
      <c r="D31" s="860"/>
      <c r="E31" s="298">
        <f>SUM(F31,G31)</f>
        <v>0</v>
      </c>
      <c r="F31" s="298"/>
      <c r="G31" s="298"/>
      <c r="H31" s="855"/>
      <c r="I31" s="855"/>
      <c r="J31" s="855"/>
      <c r="K31" s="855"/>
      <c r="L31" s="855"/>
      <c r="M31" s="855"/>
      <c r="N31" s="855"/>
      <c r="O31" s="855"/>
      <c r="P31" s="855"/>
      <c r="Q31" s="855"/>
    </row>
    <row r="32" spans="1:17" s="183" customFormat="1" ht="11.25">
      <c r="A32" s="848"/>
      <c r="B32" s="297" t="s">
        <v>739</v>
      </c>
      <c r="C32" s="858"/>
      <c r="D32" s="860"/>
      <c r="E32" s="298">
        <f>SUM(F32,G32)</f>
        <v>0</v>
      </c>
      <c r="F32" s="298"/>
      <c r="G32" s="298"/>
      <c r="H32" s="856"/>
      <c r="I32" s="856"/>
      <c r="J32" s="856"/>
      <c r="K32" s="856"/>
      <c r="L32" s="856"/>
      <c r="M32" s="856"/>
      <c r="N32" s="856"/>
      <c r="O32" s="856"/>
      <c r="P32" s="856"/>
      <c r="Q32" s="856"/>
    </row>
    <row r="33" spans="1:17" s="183" customFormat="1" ht="12.75">
      <c r="A33" s="847" t="s">
        <v>673</v>
      </c>
      <c r="B33" s="299" t="s">
        <v>668</v>
      </c>
      <c r="C33" s="849" t="s">
        <v>125</v>
      </c>
      <c r="D33" s="850"/>
      <c r="E33" s="850"/>
      <c r="F33" s="850"/>
      <c r="G33" s="850"/>
      <c r="H33" s="850"/>
      <c r="I33" s="850"/>
      <c r="J33" s="850"/>
      <c r="K33" s="850"/>
      <c r="L33" s="850"/>
      <c r="M33" s="850"/>
      <c r="N33" s="850"/>
      <c r="O33" s="850"/>
      <c r="P33" s="850"/>
      <c r="Q33" s="850"/>
    </row>
    <row r="34" spans="1:17" s="183" customFormat="1" ht="11.25" customHeight="1">
      <c r="A34" s="848"/>
      <c r="B34" s="299" t="s">
        <v>669</v>
      </c>
      <c r="C34" s="851" t="s">
        <v>736</v>
      </c>
      <c r="D34" s="852"/>
      <c r="E34" s="852"/>
      <c r="F34" s="852"/>
      <c r="G34" s="852"/>
      <c r="H34" s="852"/>
      <c r="I34" s="852"/>
      <c r="J34" s="852"/>
      <c r="K34" s="852"/>
      <c r="L34" s="852"/>
      <c r="M34" s="852"/>
      <c r="N34" s="852"/>
      <c r="O34" s="852"/>
      <c r="P34" s="852"/>
      <c r="Q34" s="853"/>
    </row>
    <row r="35" spans="1:17" s="183" customFormat="1" ht="12.75">
      <c r="A35" s="848"/>
      <c r="B35" s="299" t="s">
        <v>670</v>
      </c>
      <c r="C35" s="851" t="s">
        <v>737</v>
      </c>
      <c r="D35" s="852"/>
      <c r="E35" s="852"/>
      <c r="F35" s="852"/>
      <c r="G35" s="852"/>
      <c r="H35" s="852"/>
      <c r="I35" s="852"/>
      <c r="J35" s="852"/>
      <c r="K35" s="852"/>
      <c r="L35" s="852"/>
      <c r="M35" s="852"/>
      <c r="N35" s="852"/>
      <c r="O35" s="852"/>
      <c r="P35" s="852"/>
      <c r="Q35" s="853"/>
    </row>
    <row r="36" spans="1:17" s="183" customFormat="1" ht="12.75">
      <c r="A36" s="848"/>
      <c r="B36" s="299" t="s">
        <v>671</v>
      </c>
      <c r="C36" s="844" t="s">
        <v>6</v>
      </c>
      <c r="D36" s="845"/>
      <c r="E36" s="845"/>
      <c r="F36" s="845"/>
      <c r="G36" s="845"/>
      <c r="H36" s="845"/>
      <c r="I36" s="845"/>
      <c r="J36" s="845"/>
      <c r="K36" s="845"/>
      <c r="L36" s="845"/>
      <c r="M36" s="845"/>
      <c r="N36" s="845"/>
      <c r="O36" s="845"/>
      <c r="P36" s="845"/>
      <c r="Q36" s="846"/>
    </row>
    <row r="37" spans="1:17" s="183" customFormat="1" ht="11.25" customHeight="1">
      <c r="A37" s="848"/>
      <c r="B37" s="299" t="s">
        <v>672</v>
      </c>
      <c r="C37" s="184"/>
      <c r="D37" s="184"/>
      <c r="E37" s="298">
        <f>SUM(E38:E40)</f>
        <v>2890720</v>
      </c>
      <c r="F37" s="298">
        <f>SUM(F38:F40)</f>
        <v>658144</v>
      </c>
      <c r="G37" s="298">
        <f>SUM(G38:G40)</f>
        <v>2232576</v>
      </c>
      <c r="H37" s="298">
        <f>SUM(I37,M37)</f>
        <v>50000</v>
      </c>
      <c r="I37" s="298">
        <f>J37+K37+L37</f>
        <v>50000</v>
      </c>
      <c r="J37" s="298">
        <v>50000</v>
      </c>
      <c r="K37" s="298">
        <v>0</v>
      </c>
      <c r="L37" s="298">
        <v>0</v>
      </c>
      <c r="M37" s="298">
        <f>N37+O37+P37+Q37</f>
        <v>0</v>
      </c>
      <c r="N37" s="298">
        <v>0</v>
      </c>
      <c r="O37" s="298"/>
      <c r="P37" s="298">
        <v>0</v>
      </c>
      <c r="Q37" s="298">
        <v>0</v>
      </c>
    </row>
    <row r="38" spans="1:17" s="185" customFormat="1" ht="11.25" customHeight="1">
      <c r="A38" s="848"/>
      <c r="B38" s="297" t="s">
        <v>173</v>
      </c>
      <c r="C38" s="857">
        <v>23</v>
      </c>
      <c r="D38" s="859" t="s">
        <v>684</v>
      </c>
      <c r="E38" s="298">
        <f>SUM(F38,G38)</f>
        <v>50000</v>
      </c>
      <c r="F38" s="298">
        <f>SUM(H37)</f>
        <v>50000</v>
      </c>
      <c r="G38" s="298">
        <v>0</v>
      </c>
      <c r="H38" s="854"/>
      <c r="I38" s="854"/>
      <c r="J38" s="854"/>
      <c r="K38" s="854"/>
      <c r="L38" s="854"/>
      <c r="M38" s="854"/>
      <c r="N38" s="854"/>
      <c r="O38" s="854"/>
      <c r="P38" s="854"/>
      <c r="Q38" s="854"/>
    </row>
    <row r="39" spans="1:17" s="183" customFormat="1" ht="12.75" customHeight="1">
      <c r="A39" s="848"/>
      <c r="B39" s="297" t="s">
        <v>229</v>
      </c>
      <c r="C39" s="858"/>
      <c r="D39" s="860"/>
      <c r="E39" s="298">
        <f>SUM(F39,G39)</f>
        <v>930000</v>
      </c>
      <c r="F39" s="298">
        <v>186000</v>
      </c>
      <c r="G39" s="298">
        <v>744000</v>
      </c>
      <c r="H39" s="855"/>
      <c r="I39" s="855"/>
      <c r="J39" s="855"/>
      <c r="K39" s="855"/>
      <c r="L39" s="855"/>
      <c r="M39" s="855"/>
      <c r="N39" s="855"/>
      <c r="O39" s="855"/>
      <c r="P39" s="855"/>
      <c r="Q39" s="855"/>
    </row>
    <row r="40" spans="1:17" s="183" customFormat="1" ht="13.5" customHeight="1">
      <c r="A40" s="870"/>
      <c r="B40" s="297" t="s">
        <v>738</v>
      </c>
      <c r="C40" s="867"/>
      <c r="D40" s="868"/>
      <c r="E40" s="298">
        <f>SUM(F40,G40)</f>
        <v>1910720</v>
      </c>
      <c r="F40" s="298">
        <f>186000+186144+50000</f>
        <v>422144</v>
      </c>
      <c r="G40" s="298">
        <f>744000+744576</f>
        <v>1488576</v>
      </c>
      <c r="H40" s="856"/>
      <c r="I40" s="856"/>
      <c r="J40" s="856"/>
      <c r="K40" s="856"/>
      <c r="L40" s="856"/>
      <c r="M40" s="856"/>
      <c r="N40" s="856"/>
      <c r="O40" s="856"/>
      <c r="P40" s="856"/>
      <c r="Q40" s="856"/>
    </row>
    <row r="41" spans="1:17" s="522" customFormat="1" ht="12.75" hidden="1">
      <c r="A41" s="847" t="s">
        <v>676</v>
      </c>
      <c r="B41" s="299" t="s">
        <v>668</v>
      </c>
      <c r="C41" s="849" t="s">
        <v>125</v>
      </c>
      <c r="D41" s="850"/>
      <c r="E41" s="850"/>
      <c r="F41" s="850"/>
      <c r="G41" s="850"/>
      <c r="H41" s="850"/>
      <c r="I41" s="850"/>
      <c r="J41" s="850"/>
      <c r="K41" s="850"/>
      <c r="L41" s="850"/>
      <c r="M41" s="850"/>
      <c r="N41" s="850"/>
      <c r="O41" s="850"/>
      <c r="P41" s="850"/>
      <c r="Q41" s="850"/>
    </row>
    <row r="42" spans="1:17" s="522" customFormat="1" ht="12.75" hidden="1">
      <c r="A42" s="848"/>
      <c r="B42" s="299" t="s">
        <v>669</v>
      </c>
      <c r="C42" s="851" t="s">
        <v>736</v>
      </c>
      <c r="D42" s="852"/>
      <c r="E42" s="852"/>
      <c r="F42" s="852"/>
      <c r="G42" s="852"/>
      <c r="H42" s="852"/>
      <c r="I42" s="852"/>
      <c r="J42" s="852"/>
      <c r="K42" s="852"/>
      <c r="L42" s="852"/>
      <c r="M42" s="852"/>
      <c r="N42" s="852"/>
      <c r="O42" s="852"/>
      <c r="P42" s="852"/>
      <c r="Q42" s="853"/>
    </row>
    <row r="43" spans="1:17" s="522" customFormat="1" ht="12.75" hidden="1">
      <c r="A43" s="848"/>
      <c r="B43" s="299" t="s">
        <v>670</v>
      </c>
      <c r="C43" s="851" t="s">
        <v>737</v>
      </c>
      <c r="D43" s="852"/>
      <c r="E43" s="852"/>
      <c r="F43" s="852"/>
      <c r="G43" s="852"/>
      <c r="H43" s="852"/>
      <c r="I43" s="852"/>
      <c r="J43" s="852"/>
      <c r="K43" s="852"/>
      <c r="L43" s="852"/>
      <c r="M43" s="852"/>
      <c r="N43" s="852"/>
      <c r="O43" s="852"/>
      <c r="P43" s="852"/>
      <c r="Q43" s="853"/>
    </row>
    <row r="44" spans="1:17" s="522" customFormat="1" ht="12.75" hidden="1">
      <c r="A44" s="848"/>
      <c r="B44" s="299" t="s">
        <v>671</v>
      </c>
      <c r="C44" s="844" t="s">
        <v>741</v>
      </c>
      <c r="D44" s="845"/>
      <c r="E44" s="845"/>
      <c r="F44" s="845"/>
      <c r="G44" s="845"/>
      <c r="H44" s="845"/>
      <c r="I44" s="845"/>
      <c r="J44" s="845"/>
      <c r="K44" s="845"/>
      <c r="L44" s="845"/>
      <c r="M44" s="845"/>
      <c r="N44" s="845"/>
      <c r="O44" s="845"/>
      <c r="P44" s="845"/>
      <c r="Q44" s="846"/>
    </row>
    <row r="45" spans="1:17" ht="11.25" hidden="1">
      <c r="A45" s="848"/>
      <c r="B45" s="299" t="s">
        <v>672</v>
      </c>
      <c r="C45" s="857">
        <v>23</v>
      </c>
      <c r="D45" s="859" t="s">
        <v>684</v>
      </c>
      <c r="E45" s="298">
        <f>SUM(F45:G45)</f>
        <v>0</v>
      </c>
      <c r="F45" s="298">
        <v>0</v>
      </c>
      <c r="G45" s="298">
        <f>SUM(G46:G48)</f>
        <v>0</v>
      </c>
      <c r="H45" s="301">
        <f>SUM(I45,M45)</f>
        <v>0</v>
      </c>
      <c r="I45" s="301">
        <f>J45+K45+L45</f>
        <v>0</v>
      </c>
      <c r="J45" s="301">
        <v>0</v>
      </c>
      <c r="K45" s="301">
        <v>0</v>
      </c>
      <c r="L45" s="301">
        <v>0</v>
      </c>
      <c r="M45" s="301">
        <f>N45+O45+P45+Q45</f>
        <v>0</v>
      </c>
      <c r="N45" s="301">
        <v>0</v>
      </c>
      <c r="O45" s="301"/>
      <c r="P45" s="301">
        <v>0</v>
      </c>
      <c r="Q45" s="301">
        <v>0</v>
      </c>
    </row>
    <row r="46" spans="1:17" ht="11.25" hidden="1">
      <c r="A46" s="848"/>
      <c r="B46" s="297" t="s">
        <v>173</v>
      </c>
      <c r="C46" s="858"/>
      <c r="D46" s="860"/>
      <c r="E46" s="298">
        <f>SUM(F46:G46)</f>
        <v>0</v>
      </c>
      <c r="F46" s="298"/>
      <c r="G46" s="302"/>
      <c r="H46" s="303"/>
      <c r="I46" s="303"/>
      <c r="J46" s="303"/>
      <c r="K46" s="303"/>
      <c r="L46" s="303"/>
      <c r="M46" s="304"/>
      <c r="N46" s="305"/>
      <c r="O46" s="305"/>
      <c r="P46" s="305"/>
      <c r="Q46" s="305"/>
    </row>
    <row r="47" spans="1:17" ht="11.25" hidden="1">
      <c r="A47" s="848"/>
      <c r="B47" s="297" t="s">
        <v>229</v>
      </c>
      <c r="C47" s="858"/>
      <c r="D47" s="860"/>
      <c r="E47" s="298">
        <f>SUM(F47,G47)</f>
        <v>0</v>
      </c>
      <c r="F47" s="298"/>
      <c r="G47" s="302"/>
      <c r="H47" s="306"/>
      <c r="I47" s="306"/>
      <c r="J47" s="306"/>
      <c r="K47" s="306"/>
      <c r="L47" s="306"/>
      <c r="M47" s="307"/>
      <c r="N47" s="308"/>
      <c r="O47" s="308"/>
      <c r="P47" s="308"/>
      <c r="Q47" s="308"/>
    </row>
    <row r="48" spans="1:17" ht="11.25" hidden="1">
      <c r="A48" s="848"/>
      <c r="B48" s="297" t="s">
        <v>738</v>
      </c>
      <c r="C48" s="858"/>
      <c r="D48" s="860"/>
      <c r="E48" s="298">
        <f>SUM(F48,G48)</f>
        <v>0</v>
      </c>
      <c r="F48" s="298">
        <v>0</v>
      </c>
      <c r="G48" s="302">
        <v>0</v>
      </c>
      <c r="H48" s="306"/>
      <c r="I48" s="306"/>
      <c r="J48" s="306"/>
      <c r="K48" s="306"/>
      <c r="L48" s="306"/>
      <c r="M48" s="307"/>
      <c r="N48" s="308"/>
      <c r="O48" s="308"/>
      <c r="P48" s="308"/>
      <c r="Q48" s="308"/>
    </row>
    <row r="49" spans="1:17" ht="11.25" hidden="1">
      <c r="A49" s="848"/>
      <c r="B49" s="297" t="s">
        <v>739</v>
      </c>
      <c r="C49" s="858"/>
      <c r="D49" s="860"/>
      <c r="E49" s="298">
        <f>SUM(F49,G49)</f>
        <v>0</v>
      </c>
      <c r="F49" s="298">
        <v>0</v>
      </c>
      <c r="G49" s="302">
        <v>0</v>
      </c>
      <c r="H49" s="306"/>
      <c r="I49" s="306"/>
      <c r="J49" s="306"/>
      <c r="K49" s="306"/>
      <c r="L49" s="306"/>
      <c r="M49" s="307"/>
      <c r="N49" s="308"/>
      <c r="O49" s="308"/>
      <c r="P49" s="308"/>
      <c r="Q49" s="308"/>
    </row>
    <row r="50" spans="1:17" ht="11.25" hidden="1">
      <c r="A50" s="870"/>
      <c r="B50" s="297" t="s">
        <v>740</v>
      </c>
      <c r="C50" s="867"/>
      <c r="D50" s="868"/>
      <c r="E50" s="298">
        <f>SUM(F50,G50)</f>
        <v>0</v>
      </c>
      <c r="F50" s="298">
        <v>0</v>
      </c>
      <c r="G50" s="302">
        <v>0</v>
      </c>
      <c r="H50" s="309"/>
      <c r="I50" s="309"/>
      <c r="J50" s="309"/>
      <c r="K50" s="309"/>
      <c r="L50" s="309"/>
      <c r="M50" s="300"/>
      <c r="N50" s="310"/>
      <c r="O50" s="310"/>
      <c r="P50" s="310"/>
      <c r="Q50" s="310"/>
    </row>
    <row r="51" spans="1:17" ht="12.75">
      <c r="A51" s="847" t="s">
        <v>676</v>
      </c>
      <c r="B51" s="299" t="s">
        <v>668</v>
      </c>
      <c r="C51" s="849" t="s">
        <v>125</v>
      </c>
      <c r="D51" s="850"/>
      <c r="E51" s="850"/>
      <c r="F51" s="850"/>
      <c r="G51" s="850"/>
      <c r="H51" s="850"/>
      <c r="I51" s="850"/>
      <c r="J51" s="850"/>
      <c r="K51" s="850"/>
      <c r="L51" s="850"/>
      <c r="M51" s="850"/>
      <c r="N51" s="850"/>
      <c r="O51" s="850"/>
      <c r="P51" s="850"/>
      <c r="Q51" s="850"/>
    </row>
    <row r="52" spans="1:17" ht="12.75">
      <c r="A52" s="848"/>
      <c r="B52" s="299" t="s">
        <v>669</v>
      </c>
      <c r="C52" s="851" t="s">
        <v>736</v>
      </c>
      <c r="D52" s="852"/>
      <c r="E52" s="852"/>
      <c r="F52" s="852"/>
      <c r="G52" s="852"/>
      <c r="H52" s="852"/>
      <c r="I52" s="852"/>
      <c r="J52" s="852"/>
      <c r="K52" s="852"/>
      <c r="L52" s="852"/>
      <c r="M52" s="852"/>
      <c r="N52" s="852"/>
      <c r="O52" s="852"/>
      <c r="P52" s="852"/>
      <c r="Q52" s="853"/>
    </row>
    <row r="53" spans="1:17" ht="12.75">
      <c r="A53" s="848"/>
      <c r="B53" s="299" t="s">
        <v>670</v>
      </c>
      <c r="C53" s="851" t="s">
        <v>130</v>
      </c>
      <c r="D53" s="852"/>
      <c r="E53" s="852"/>
      <c r="F53" s="852"/>
      <c r="G53" s="852"/>
      <c r="H53" s="852"/>
      <c r="I53" s="852"/>
      <c r="J53" s="852"/>
      <c r="K53" s="852"/>
      <c r="L53" s="852"/>
      <c r="M53" s="852"/>
      <c r="N53" s="852"/>
      <c r="O53" s="852"/>
      <c r="P53" s="852"/>
      <c r="Q53" s="853"/>
    </row>
    <row r="54" spans="1:17" ht="12.75">
      <c r="A54" s="848"/>
      <c r="B54" s="299" t="s">
        <v>671</v>
      </c>
      <c r="C54" s="844" t="s">
        <v>131</v>
      </c>
      <c r="D54" s="845"/>
      <c r="E54" s="845"/>
      <c r="F54" s="845"/>
      <c r="G54" s="845"/>
      <c r="H54" s="845"/>
      <c r="I54" s="845"/>
      <c r="J54" s="845"/>
      <c r="K54" s="845"/>
      <c r="L54" s="845"/>
      <c r="M54" s="845"/>
      <c r="N54" s="845"/>
      <c r="O54" s="845"/>
      <c r="P54" s="845"/>
      <c r="Q54" s="846"/>
    </row>
    <row r="55" spans="1:17" ht="11.25">
      <c r="A55" s="848"/>
      <c r="B55" s="299" t="s">
        <v>672</v>
      </c>
      <c r="C55" s="871">
        <v>23</v>
      </c>
      <c r="D55" s="873" t="s">
        <v>684</v>
      </c>
      <c r="E55" s="651">
        <f>SUM(F55:G55)</f>
        <v>4223547</v>
      </c>
      <c r="F55" s="651">
        <f>SUM(F56:F57)+40260</f>
        <v>1761261</v>
      </c>
      <c r="G55" s="651">
        <f>SUM(G56:G58)</f>
        <v>2462286</v>
      </c>
      <c r="H55" s="652">
        <f>SUM(I55,M55)</f>
        <v>4183287</v>
      </c>
      <c r="I55" s="652">
        <f>J55+K55+L55</f>
        <v>1721001</v>
      </c>
      <c r="J55" s="652">
        <v>0</v>
      </c>
      <c r="K55" s="652">
        <v>0</v>
      </c>
      <c r="L55" s="298">
        <f>1409505+311496</f>
        <v>1721001</v>
      </c>
      <c r="M55" s="652">
        <f>N55+O55+P55+Q55</f>
        <v>2462286</v>
      </c>
      <c r="N55" s="652">
        <v>0</v>
      </c>
      <c r="O55" s="652"/>
      <c r="P55" s="652">
        <v>0</v>
      </c>
      <c r="Q55" s="298">
        <v>2462286</v>
      </c>
    </row>
    <row r="56" spans="1:17" ht="11.25">
      <c r="A56" s="848"/>
      <c r="B56" s="297" t="s">
        <v>173</v>
      </c>
      <c r="C56" s="872"/>
      <c r="D56" s="874"/>
      <c r="E56" s="651">
        <f>SUM(F56:G56)</f>
        <v>4183287</v>
      </c>
      <c r="F56" s="651">
        <f>SUM(L55)</f>
        <v>1721001</v>
      </c>
      <c r="G56" s="653">
        <f>SUM(Q55)</f>
        <v>2462286</v>
      </c>
      <c r="H56" s="654"/>
      <c r="I56" s="654"/>
      <c r="J56" s="654"/>
      <c r="K56" s="654"/>
      <c r="L56" s="654"/>
      <c r="M56" s="655"/>
      <c r="N56" s="656"/>
      <c r="O56" s="656"/>
      <c r="P56" s="656"/>
      <c r="Q56" s="656"/>
    </row>
    <row r="57" spans="1:17" ht="11.25">
      <c r="A57" s="848"/>
      <c r="B57" s="297" t="s">
        <v>229</v>
      </c>
      <c r="C57" s="872"/>
      <c r="D57" s="874"/>
      <c r="E57" s="651">
        <f>SUM(F57,G57)</f>
        <v>0</v>
      </c>
      <c r="F57" s="298">
        <v>0</v>
      </c>
      <c r="G57" s="298">
        <v>0</v>
      </c>
      <c r="H57" s="657"/>
      <c r="I57" s="657"/>
      <c r="J57" s="657"/>
      <c r="K57" s="657"/>
      <c r="L57" s="657"/>
      <c r="M57" s="658"/>
      <c r="N57" s="659"/>
      <c r="O57" s="659"/>
      <c r="P57" s="659"/>
      <c r="Q57" s="659"/>
    </row>
    <row r="58" spans="1:17" ht="11.25">
      <c r="A58" s="848"/>
      <c r="B58" s="297" t="s">
        <v>738</v>
      </c>
      <c r="C58" s="872"/>
      <c r="D58" s="874"/>
      <c r="E58" s="651">
        <f>SUM(F58,G58)</f>
        <v>0</v>
      </c>
      <c r="F58" s="651">
        <v>0</v>
      </c>
      <c r="G58" s="653">
        <v>0</v>
      </c>
      <c r="H58" s="657"/>
      <c r="I58" s="657"/>
      <c r="J58" s="657"/>
      <c r="K58" s="657"/>
      <c r="L58" s="657"/>
      <c r="M58" s="658"/>
      <c r="N58" s="659"/>
      <c r="O58" s="659"/>
      <c r="P58" s="659"/>
      <c r="Q58" s="659"/>
    </row>
    <row r="59" spans="1:17" ht="11.25">
      <c r="A59" s="848"/>
      <c r="B59" s="297" t="s">
        <v>739</v>
      </c>
      <c r="C59" s="872"/>
      <c r="D59" s="874"/>
      <c r="E59" s="651">
        <f>SUM(F59,G59)</f>
        <v>0</v>
      </c>
      <c r="F59" s="651">
        <v>0</v>
      </c>
      <c r="G59" s="653">
        <v>0</v>
      </c>
      <c r="H59" s="657"/>
      <c r="I59" s="657"/>
      <c r="J59" s="657"/>
      <c r="K59" s="657"/>
      <c r="L59" s="657"/>
      <c r="M59" s="658"/>
      <c r="N59" s="659"/>
      <c r="O59" s="659"/>
      <c r="P59" s="659"/>
      <c r="Q59" s="659"/>
    </row>
    <row r="60" spans="1:17" ht="12.75">
      <c r="A60" s="847" t="s">
        <v>129</v>
      </c>
      <c r="B60" s="299" t="s">
        <v>668</v>
      </c>
      <c r="C60" s="849" t="s">
        <v>125</v>
      </c>
      <c r="D60" s="850"/>
      <c r="E60" s="850"/>
      <c r="F60" s="850"/>
      <c r="G60" s="850"/>
      <c r="H60" s="850"/>
      <c r="I60" s="850"/>
      <c r="J60" s="850"/>
      <c r="K60" s="850"/>
      <c r="L60" s="850"/>
      <c r="M60" s="850"/>
      <c r="N60" s="850"/>
      <c r="O60" s="850"/>
      <c r="P60" s="850"/>
      <c r="Q60" s="850"/>
    </row>
    <row r="61" spans="1:17" ht="12.75">
      <c r="A61" s="848"/>
      <c r="B61" s="299" t="s">
        <v>669</v>
      </c>
      <c r="C61" s="851" t="s">
        <v>133</v>
      </c>
      <c r="D61" s="852"/>
      <c r="E61" s="852"/>
      <c r="F61" s="852"/>
      <c r="G61" s="852"/>
      <c r="H61" s="852"/>
      <c r="I61" s="852"/>
      <c r="J61" s="852"/>
      <c r="K61" s="852"/>
      <c r="L61" s="852"/>
      <c r="M61" s="852"/>
      <c r="N61" s="852"/>
      <c r="O61" s="852"/>
      <c r="P61" s="852"/>
      <c r="Q61" s="853"/>
    </row>
    <row r="62" spans="1:17" ht="12.75">
      <c r="A62" s="848"/>
      <c r="B62" s="299" t="s">
        <v>670</v>
      </c>
      <c r="C62" s="851" t="s">
        <v>136</v>
      </c>
      <c r="D62" s="852"/>
      <c r="E62" s="852"/>
      <c r="F62" s="852"/>
      <c r="G62" s="852"/>
      <c r="H62" s="852"/>
      <c r="I62" s="852"/>
      <c r="J62" s="852"/>
      <c r="K62" s="852"/>
      <c r="L62" s="852"/>
      <c r="M62" s="852"/>
      <c r="N62" s="852"/>
      <c r="O62" s="852"/>
      <c r="P62" s="852"/>
      <c r="Q62" s="853"/>
    </row>
    <row r="63" spans="1:17" ht="12.75">
      <c r="A63" s="848"/>
      <c r="B63" s="299" t="s">
        <v>671</v>
      </c>
      <c r="C63" s="844" t="s">
        <v>137</v>
      </c>
      <c r="D63" s="845"/>
      <c r="E63" s="845"/>
      <c r="F63" s="845"/>
      <c r="G63" s="845"/>
      <c r="H63" s="845"/>
      <c r="I63" s="845"/>
      <c r="J63" s="845"/>
      <c r="K63" s="845"/>
      <c r="L63" s="845"/>
      <c r="M63" s="845"/>
      <c r="N63" s="845"/>
      <c r="O63" s="845"/>
      <c r="P63" s="845"/>
      <c r="Q63" s="846"/>
    </row>
    <row r="64" spans="1:17" ht="11.25">
      <c r="A64" s="848"/>
      <c r="B64" s="299" t="s">
        <v>672</v>
      </c>
      <c r="C64" s="663">
        <v>57</v>
      </c>
      <c r="D64" s="664"/>
      <c r="E64" s="651">
        <f>SUM(F64:G64)</f>
        <v>12470</v>
      </c>
      <c r="F64" s="651">
        <f>SUM(F65:F66)</f>
        <v>12470</v>
      </c>
      <c r="G64" s="651">
        <f>SUM(G65:G67)</f>
        <v>0</v>
      </c>
      <c r="H64" s="651">
        <f>SUM(I64,M64)</f>
        <v>12470</v>
      </c>
      <c r="I64" s="651">
        <f>J64+K64+L64</f>
        <v>12470</v>
      </c>
      <c r="J64" s="651">
        <v>0</v>
      </c>
      <c r="K64" s="651">
        <v>0</v>
      </c>
      <c r="L64" s="651">
        <f>300+12170</f>
        <v>12470</v>
      </c>
      <c r="M64" s="651">
        <f>N64+O64+P64+Q64</f>
        <v>0</v>
      </c>
      <c r="N64" s="651">
        <v>0</v>
      </c>
      <c r="O64" s="651"/>
      <c r="P64" s="651">
        <v>0</v>
      </c>
      <c r="Q64" s="651">
        <v>0</v>
      </c>
    </row>
    <row r="65" spans="1:17" ht="11.25">
      <c r="A65" s="848"/>
      <c r="B65" s="297" t="s">
        <v>173</v>
      </c>
      <c r="C65" s="871">
        <v>57</v>
      </c>
      <c r="D65" s="873" t="s">
        <v>138</v>
      </c>
      <c r="E65" s="651">
        <f>SUM(F65:G65)</f>
        <v>12470</v>
      </c>
      <c r="F65" s="651">
        <f>SUM(I64)</f>
        <v>12470</v>
      </c>
      <c r="G65" s="653">
        <f>SUM(M64)</f>
        <v>0</v>
      </c>
      <c r="H65" s="654"/>
      <c r="I65" s="654"/>
      <c r="J65" s="654"/>
      <c r="K65" s="654"/>
      <c r="L65" s="654"/>
      <c r="M65" s="655"/>
      <c r="N65" s="656"/>
      <c r="O65" s="656"/>
      <c r="P65" s="656"/>
      <c r="Q65" s="656"/>
    </row>
    <row r="66" spans="1:17" ht="11.25">
      <c r="A66" s="848"/>
      <c r="B66" s="297" t="s">
        <v>229</v>
      </c>
      <c r="C66" s="872"/>
      <c r="D66" s="874"/>
      <c r="E66" s="651">
        <f>SUM(F66,G66)</f>
        <v>0</v>
      </c>
      <c r="F66" s="651">
        <v>0</v>
      </c>
      <c r="G66" s="653">
        <v>0</v>
      </c>
      <c r="H66" s="657"/>
      <c r="I66" s="657"/>
      <c r="J66" s="657"/>
      <c r="K66" s="657"/>
      <c r="L66" s="657"/>
      <c r="M66" s="658"/>
      <c r="N66" s="659"/>
      <c r="O66" s="659"/>
      <c r="P66" s="659"/>
      <c r="Q66" s="659"/>
    </row>
    <row r="67" spans="1:17" ht="11.25">
      <c r="A67" s="848"/>
      <c r="B67" s="297" t="s">
        <v>738</v>
      </c>
      <c r="C67" s="872"/>
      <c r="D67" s="874"/>
      <c r="E67" s="651">
        <f>SUM(F67,G67)</f>
        <v>0</v>
      </c>
      <c r="F67" s="651">
        <v>0</v>
      </c>
      <c r="G67" s="653">
        <v>0</v>
      </c>
      <c r="H67" s="657"/>
      <c r="I67" s="657"/>
      <c r="J67" s="657"/>
      <c r="K67" s="657"/>
      <c r="L67" s="657"/>
      <c r="M67" s="658"/>
      <c r="N67" s="659"/>
      <c r="O67" s="659"/>
      <c r="P67" s="659"/>
      <c r="Q67" s="659"/>
    </row>
    <row r="68" spans="1:17" ht="11.25">
      <c r="A68" s="870"/>
      <c r="B68" s="297" t="s">
        <v>739</v>
      </c>
      <c r="C68" s="872"/>
      <c r="D68" s="874"/>
      <c r="E68" s="651">
        <f>SUM(F68,G68)</f>
        <v>0</v>
      </c>
      <c r="F68" s="651">
        <v>0</v>
      </c>
      <c r="G68" s="653">
        <v>0</v>
      </c>
      <c r="H68" s="657"/>
      <c r="I68" s="657"/>
      <c r="J68" s="657"/>
      <c r="K68" s="657"/>
      <c r="L68" s="657"/>
      <c r="M68" s="658"/>
      <c r="N68" s="659"/>
      <c r="O68" s="659"/>
      <c r="P68" s="659"/>
      <c r="Q68" s="659"/>
    </row>
    <row r="69" spans="1:17" ht="12.75">
      <c r="A69" s="847" t="s">
        <v>132</v>
      </c>
      <c r="B69" s="299" t="s">
        <v>668</v>
      </c>
      <c r="C69" s="849" t="s">
        <v>125</v>
      </c>
      <c r="D69" s="850"/>
      <c r="E69" s="850"/>
      <c r="F69" s="850"/>
      <c r="G69" s="850"/>
      <c r="H69" s="850"/>
      <c r="I69" s="850"/>
      <c r="J69" s="850"/>
      <c r="K69" s="850"/>
      <c r="L69" s="850"/>
      <c r="M69" s="850"/>
      <c r="N69" s="850"/>
      <c r="O69" s="850"/>
      <c r="P69" s="850"/>
      <c r="Q69" s="850"/>
    </row>
    <row r="70" spans="1:17" ht="12.75">
      <c r="A70" s="848"/>
      <c r="B70" s="299" t="s">
        <v>669</v>
      </c>
      <c r="C70" s="851" t="s">
        <v>133</v>
      </c>
      <c r="D70" s="852"/>
      <c r="E70" s="852"/>
      <c r="F70" s="852"/>
      <c r="G70" s="852"/>
      <c r="H70" s="852"/>
      <c r="I70" s="852"/>
      <c r="J70" s="852"/>
      <c r="K70" s="852"/>
      <c r="L70" s="852"/>
      <c r="M70" s="852"/>
      <c r="N70" s="852"/>
      <c r="O70" s="852"/>
      <c r="P70" s="852"/>
      <c r="Q70" s="853"/>
    </row>
    <row r="71" spans="1:17" ht="12.75">
      <c r="A71" s="848"/>
      <c r="B71" s="299" t="s">
        <v>670</v>
      </c>
      <c r="C71" s="851" t="s">
        <v>175</v>
      </c>
      <c r="D71" s="852"/>
      <c r="E71" s="852"/>
      <c r="F71" s="852"/>
      <c r="G71" s="852"/>
      <c r="H71" s="852"/>
      <c r="I71" s="852"/>
      <c r="J71" s="852"/>
      <c r="K71" s="852"/>
      <c r="L71" s="852"/>
      <c r="M71" s="852"/>
      <c r="N71" s="852"/>
      <c r="O71" s="852"/>
      <c r="P71" s="852"/>
      <c r="Q71" s="853"/>
    </row>
    <row r="72" spans="1:17" ht="12.75">
      <c r="A72" s="848"/>
      <c r="B72" s="299" t="s">
        <v>671</v>
      </c>
      <c r="C72" s="844" t="s">
        <v>174</v>
      </c>
      <c r="D72" s="845"/>
      <c r="E72" s="845"/>
      <c r="F72" s="845"/>
      <c r="G72" s="845"/>
      <c r="H72" s="845"/>
      <c r="I72" s="845"/>
      <c r="J72" s="845"/>
      <c r="K72" s="845"/>
      <c r="L72" s="845"/>
      <c r="M72" s="845"/>
      <c r="N72" s="845"/>
      <c r="O72" s="845"/>
      <c r="P72" s="845"/>
      <c r="Q72" s="846"/>
    </row>
    <row r="73" spans="1:17" ht="11.25">
      <c r="A73" s="848"/>
      <c r="B73" s="299" t="s">
        <v>672</v>
      </c>
      <c r="C73" s="663">
        <v>57</v>
      </c>
      <c r="D73" s="664"/>
      <c r="E73" s="651">
        <f>SUM(F73:G73)</f>
        <v>152150</v>
      </c>
      <c r="F73" s="651">
        <f>SUM(F74:F76)</f>
        <v>152150</v>
      </c>
      <c r="G73" s="651">
        <f>SUM(G74:G76)</f>
        <v>0</v>
      </c>
      <c r="H73" s="651">
        <f>SUM(I73,M73)</f>
        <v>88800</v>
      </c>
      <c r="I73" s="651">
        <f>J73+K73+L73</f>
        <v>88800</v>
      </c>
      <c r="J73" s="651">
        <v>0</v>
      </c>
      <c r="K73" s="651">
        <v>0</v>
      </c>
      <c r="L73" s="651">
        <v>88800</v>
      </c>
      <c r="M73" s="651">
        <f>N73+O73+P73+Q73</f>
        <v>0</v>
      </c>
      <c r="N73" s="651">
        <v>0</v>
      </c>
      <c r="O73" s="651"/>
      <c r="P73" s="651">
        <v>0</v>
      </c>
      <c r="Q73" s="651">
        <v>0</v>
      </c>
    </row>
    <row r="74" spans="1:17" ht="11.25">
      <c r="A74" s="848"/>
      <c r="B74" s="297" t="s">
        <v>173</v>
      </c>
      <c r="C74" s="871">
        <v>57</v>
      </c>
      <c r="D74" s="873" t="s">
        <v>138</v>
      </c>
      <c r="E74" s="651">
        <f>SUM(F74:G74)</f>
        <v>88800</v>
      </c>
      <c r="F74" s="651">
        <f>SUM(I73)</f>
        <v>88800</v>
      </c>
      <c r="G74" s="653">
        <f>SUM(M73)</f>
        <v>0</v>
      </c>
      <c r="H74" s="654"/>
      <c r="I74" s="654"/>
      <c r="J74" s="654"/>
      <c r="K74" s="654"/>
      <c r="L74" s="654"/>
      <c r="M74" s="655"/>
      <c r="N74" s="656"/>
      <c r="O74" s="656"/>
      <c r="P74" s="656"/>
      <c r="Q74" s="656"/>
    </row>
    <row r="75" spans="1:17" ht="11.25">
      <c r="A75" s="848"/>
      <c r="B75" s="297" t="s">
        <v>229</v>
      </c>
      <c r="C75" s="872"/>
      <c r="D75" s="874"/>
      <c r="E75" s="651">
        <f>SUM(F75,G75)</f>
        <v>35100</v>
      </c>
      <c r="F75" s="651">
        <v>35100</v>
      </c>
      <c r="G75" s="653">
        <v>0</v>
      </c>
      <c r="H75" s="657"/>
      <c r="I75" s="657"/>
      <c r="J75" s="657"/>
      <c r="K75" s="657"/>
      <c r="L75" s="657"/>
      <c r="M75" s="658"/>
      <c r="N75" s="659"/>
      <c r="O75" s="659"/>
      <c r="P75" s="659"/>
      <c r="Q75" s="659"/>
    </row>
    <row r="76" spans="1:17" ht="11.25">
      <c r="A76" s="848"/>
      <c r="B76" s="297" t="s">
        <v>738</v>
      </c>
      <c r="C76" s="872"/>
      <c r="D76" s="874"/>
      <c r="E76" s="651">
        <f>SUM(F76,G76)</f>
        <v>28250</v>
      </c>
      <c r="F76" s="651">
        <v>28250</v>
      </c>
      <c r="G76" s="653">
        <v>0</v>
      </c>
      <c r="H76" s="657"/>
      <c r="I76" s="657"/>
      <c r="J76" s="657"/>
      <c r="K76" s="657"/>
      <c r="L76" s="657"/>
      <c r="M76" s="658"/>
      <c r="N76" s="659"/>
      <c r="O76" s="659"/>
      <c r="P76" s="659"/>
      <c r="Q76" s="659"/>
    </row>
    <row r="77" spans="1:17" ht="11.25">
      <c r="A77" s="870"/>
      <c r="B77" s="297" t="s">
        <v>739</v>
      </c>
      <c r="C77" s="872"/>
      <c r="D77" s="874"/>
      <c r="E77" s="651">
        <f>SUM(F77,G77)</f>
        <v>0</v>
      </c>
      <c r="F77" s="651">
        <v>0</v>
      </c>
      <c r="G77" s="653">
        <v>0</v>
      </c>
      <c r="H77" s="657"/>
      <c r="I77" s="657"/>
      <c r="J77" s="657"/>
      <c r="K77" s="657"/>
      <c r="L77" s="657"/>
      <c r="M77" s="658"/>
      <c r="N77" s="659"/>
      <c r="O77" s="659"/>
      <c r="P77" s="659"/>
      <c r="Q77" s="659"/>
    </row>
    <row r="78" spans="1:17" ht="12.75" hidden="1">
      <c r="A78" s="847" t="s">
        <v>139</v>
      </c>
      <c r="B78" s="299" t="s">
        <v>668</v>
      </c>
      <c r="C78" s="849" t="s">
        <v>140</v>
      </c>
      <c r="D78" s="850"/>
      <c r="E78" s="850"/>
      <c r="F78" s="850"/>
      <c r="G78" s="850"/>
      <c r="H78" s="850"/>
      <c r="I78" s="850"/>
      <c r="J78" s="850"/>
      <c r="K78" s="850"/>
      <c r="L78" s="850"/>
      <c r="M78" s="850"/>
      <c r="N78" s="850"/>
      <c r="O78" s="850"/>
      <c r="P78" s="850"/>
      <c r="Q78" s="850"/>
    </row>
    <row r="79" spans="1:17" ht="12.75" hidden="1">
      <c r="A79" s="848"/>
      <c r="B79" s="299" t="s">
        <v>669</v>
      </c>
      <c r="C79" s="851" t="s">
        <v>141</v>
      </c>
      <c r="D79" s="852"/>
      <c r="E79" s="852"/>
      <c r="F79" s="852"/>
      <c r="G79" s="852"/>
      <c r="H79" s="852"/>
      <c r="I79" s="852"/>
      <c r="J79" s="852"/>
      <c r="K79" s="852"/>
      <c r="L79" s="852"/>
      <c r="M79" s="852"/>
      <c r="N79" s="852"/>
      <c r="O79" s="852"/>
      <c r="P79" s="852"/>
      <c r="Q79" s="853"/>
    </row>
    <row r="80" spans="1:17" ht="12.75" hidden="1">
      <c r="A80" s="848"/>
      <c r="B80" s="299" t="s">
        <v>670</v>
      </c>
      <c r="C80" s="851"/>
      <c r="D80" s="852"/>
      <c r="E80" s="852"/>
      <c r="F80" s="852"/>
      <c r="G80" s="852"/>
      <c r="H80" s="852"/>
      <c r="I80" s="852"/>
      <c r="J80" s="852"/>
      <c r="K80" s="852"/>
      <c r="L80" s="852"/>
      <c r="M80" s="852"/>
      <c r="N80" s="852"/>
      <c r="O80" s="852"/>
      <c r="P80" s="852"/>
      <c r="Q80" s="853"/>
    </row>
    <row r="81" spans="1:17" ht="12.75" hidden="1">
      <c r="A81" s="848"/>
      <c r="B81" s="299" t="s">
        <v>671</v>
      </c>
      <c r="C81" s="844" t="s">
        <v>142</v>
      </c>
      <c r="D81" s="845"/>
      <c r="E81" s="845"/>
      <c r="F81" s="845"/>
      <c r="G81" s="845"/>
      <c r="H81" s="845"/>
      <c r="I81" s="845"/>
      <c r="J81" s="845"/>
      <c r="K81" s="845"/>
      <c r="L81" s="845"/>
      <c r="M81" s="845"/>
      <c r="N81" s="845"/>
      <c r="O81" s="845"/>
      <c r="P81" s="845"/>
      <c r="Q81" s="846"/>
    </row>
    <row r="82" spans="1:17" ht="11.25" hidden="1">
      <c r="A82" s="848"/>
      <c r="B82" s="299" t="s">
        <v>672</v>
      </c>
      <c r="C82" s="665"/>
      <c r="D82" s="664"/>
      <c r="E82" s="651">
        <f>SUM(F82:G82)</f>
        <v>0</v>
      </c>
      <c r="F82" s="651">
        <f>SUM(F83:F84)</f>
        <v>0</v>
      </c>
      <c r="G82" s="651">
        <f>SUM(G83:G85)</f>
        <v>0</v>
      </c>
      <c r="H82" s="651">
        <f>SUM(I82,M82)</f>
        <v>0</v>
      </c>
      <c r="I82" s="651">
        <f>J82+K82+L82</f>
        <v>0</v>
      </c>
      <c r="J82" s="651">
        <v>0</v>
      </c>
      <c r="K82" s="651">
        <v>0</v>
      </c>
      <c r="L82" s="651">
        <v>0</v>
      </c>
      <c r="M82" s="651">
        <f>N82+O82+P82+Q82</f>
        <v>0</v>
      </c>
      <c r="N82" s="651">
        <v>0</v>
      </c>
      <c r="O82" s="651"/>
      <c r="P82" s="651">
        <v>0</v>
      </c>
      <c r="Q82" s="651">
        <v>0</v>
      </c>
    </row>
    <row r="83" spans="1:17" ht="11.25" hidden="1">
      <c r="A83" s="848"/>
      <c r="B83" s="297" t="s">
        <v>173</v>
      </c>
      <c r="C83" s="875"/>
      <c r="D83" s="873" t="s">
        <v>143</v>
      </c>
      <c r="E83" s="651">
        <f>SUM(F83:G83)</f>
        <v>0</v>
      </c>
      <c r="F83" s="651">
        <f>SUM(I82)</f>
        <v>0</v>
      </c>
      <c r="G83" s="653">
        <f>SUM(M82)</f>
        <v>0</v>
      </c>
      <c r="H83" s="654"/>
      <c r="I83" s="654"/>
      <c r="J83" s="654"/>
      <c r="K83" s="654"/>
      <c r="L83" s="654"/>
      <c r="M83" s="655"/>
      <c r="N83" s="656"/>
      <c r="O83" s="656"/>
      <c r="P83" s="659"/>
      <c r="Q83" s="659"/>
    </row>
    <row r="84" spans="1:17" ht="11.25" hidden="1">
      <c r="A84" s="848"/>
      <c r="B84" s="297" t="s">
        <v>229</v>
      </c>
      <c r="C84" s="876"/>
      <c r="D84" s="874"/>
      <c r="E84" s="651">
        <f>SUM(F84,G84)</f>
        <v>0</v>
      </c>
      <c r="F84" s="651">
        <v>0</v>
      </c>
      <c r="G84" s="653">
        <v>0</v>
      </c>
      <c r="H84" s="657"/>
      <c r="I84" s="657"/>
      <c r="J84" s="657"/>
      <c r="K84" s="657"/>
      <c r="L84" s="657"/>
      <c r="M84" s="658"/>
      <c r="N84" s="659"/>
      <c r="O84" s="659"/>
      <c r="P84" s="659"/>
      <c r="Q84" s="659"/>
    </row>
    <row r="85" spans="1:17" ht="11.25" hidden="1">
      <c r="A85" s="848"/>
      <c r="B85" s="297" t="s">
        <v>738</v>
      </c>
      <c r="C85" s="876"/>
      <c r="D85" s="874"/>
      <c r="E85" s="651">
        <f>SUM(F85,G85)</f>
        <v>0</v>
      </c>
      <c r="F85" s="651">
        <v>0</v>
      </c>
      <c r="G85" s="653">
        <v>0</v>
      </c>
      <c r="H85" s="657"/>
      <c r="I85" s="657"/>
      <c r="J85" s="657"/>
      <c r="K85" s="657"/>
      <c r="L85" s="657"/>
      <c r="M85" s="658"/>
      <c r="N85" s="659"/>
      <c r="O85" s="659"/>
      <c r="P85" s="659"/>
      <c r="Q85" s="659"/>
    </row>
    <row r="86" spans="1:17" ht="11.25" hidden="1">
      <c r="A86" s="848"/>
      <c r="B86" s="297" t="s">
        <v>739</v>
      </c>
      <c r="C86" s="876"/>
      <c r="D86" s="874"/>
      <c r="E86" s="651">
        <f>SUM(F86,G86)</f>
        <v>0</v>
      </c>
      <c r="F86" s="651">
        <v>0</v>
      </c>
      <c r="G86" s="653">
        <v>0</v>
      </c>
      <c r="H86" s="657"/>
      <c r="I86" s="657"/>
      <c r="J86" s="657"/>
      <c r="K86" s="657"/>
      <c r="L86" s="657"/>
      <c r="M86" s="658"/>
      <c r="N86" s="659"/>
      <c r="O86" s="659"/>
      <c r="P86" s="659"/>
      <c r="Q86" s="659"/>
    </row>
    <row r="87" spans="1:17" ht="11.25" hidden="1">
      <c r="A87" s="870"/>
      <c r="B87" s="297" t="s">
        <v>740</v>
      </c>
      <c r="C87" s="877"/>
      <c r="D87" s="878"/>
      <c r="E87" s="651">
        <f>SUM(F87,G87)</f>
        <v>0</v>
      </c>
      <c r="F87" s="651">
        <v>0</v>
      </c>
      <c r="G87" s="653">
        <v>0</v>
      </c>
      <c r="H87" s="660"/>
      <c r="I87" s="660"/>
      <c r="J87" s="660"/>
      <c r="K87" s="660"/>
      <c r="L87" s="660"/>
      <c r="M87" s="661"/>
      <c r="N87" s="662"/>
      <c r="O87" s="662"/>
      <c r="P87" s="662"/>
      <c r="Q87" s="662"/>
    </row>
    <row r="88" spans="1:17" ht="11.25">
      <c r="A88" s="464">
        <v>2</v>
      </c>
      <c r="B88" s="465" t="s">
        <v>674</v>
      </c>
      <c r="C88" s="879" t="s">
        <v>666</v>
      </c>
      <c r="D88" s="879"/>
      <c r="E88" s="521">
        <f aca="true" t="shared" si="1" ref="E88:Q88">SUM(E93,E102,E112,E121)</f>
        <v>703869</v>
      </c>
      <c r="F88" s="521">
        <f t="shared" si="1"/>
        <v>97010</v>
      </c>
      <c r="G88" s="521">
        <f t="shared" si="1"/>
        <v>606859</v>
      </c>
      <c r="H88" s="521">
        <f t="shared" si="1"/>
        <v>206152</v>
      </c>
      <c r="I88" s="521">
        <f t="shared" si="1"/>
        <v>38419</v>
      </c>
      <c r="J88" s="521">
        <f t="shared" si="1"/>
        <v>0</v>
      </c>
      <c r="K88" s="521">
        <f t="shared" si="1"/>
        <v>0</v>
      </c>
      <c r="L88" s="521">
        <f t="shared" si="1"/>
        <v>38419</v>
      </c>
      <c r="M88" s="521">
        <f t="shared" si="1"/>
        <v>167733</v>
      </c>
      <c r="N88" s="521">
        <f t="shared" si="1"/>
        <v>0</v>
      </c>
      <c r="O88" s="521">
        <f t="shared" si="1"/>
        <v>0</v>
      </c>
      <c r="P88" s="521">
        <f t="shared" si="1"/>
        <v>0</v>
      </c>
      <c r="Q88" s="521">
        <f t="shared" si="1"/>
        <v>167733</v>
      </c>
    </row>
    <row r="89" spans="1:17" ht="12.75">
      <c r="A89" s="847" t="s">
        <v>144</v>
      </c>
      <c r="B89" s="299" t="s">
        <v>668</v>
      </c>
      <c r="C89" s="849" t="s">
        <v>140</v>
      </c>
      <c r="D89" s="850"/>
      <c r="E89" s="850"/>
      <c r="F89" s="850"/>
      <c r="G89" s="850"/>
      <c r="H89" s="850"/>
      <c r="I89" s="850"/>
      <c r="J89" s="850"/>
      <c r="K89" s="850"/>
      <c r="L89" s="850"/>
      <c r="M89" s="850"/>
      <c r="N89" s="850"/>
      <c r="O89" s="850"/>
      <c r="P89" s="850"/>
      <c r="Q89" s="850"/>
    </row>
    <row r="90" spans="1:17" ht="12.75">
      <c r="A90" s="848"/>
      <c r="B90" s="299" t="s">
        <v>669</v>
      </c>
      <c r="C90" s="851" t="s">
        <v>141</v>
      </c>
      <c r="D90" s="852"/>
      <c r="E90" s="852"/>
      <c r="F90" s="852"/>
      <c r="G90" s="852"/>
      <c r="H90" s="852"/>
      <c r="I90" s="852"/>
      <c r="J90" s="852"/>
      <c r="K90" s="852"/>
      <c r="L90" s="852"/>
      <c r="M90" s="852"/>
      <c r="N90" s="852"/>
      <c r="O90" s="852"/>
      <c r="P90" s="852"/>
      <c r="Q90" s="853"/>
    </row>
    <row r="91" spans="1:17" ht="11.25" customHeight="1">
      <c r="A91" s="848"/>
      <c r="B91" s="299" t="s">
        <v>670</v>
      </c>
      <c r="C91" s="851"/>
      <c r="D91" s="852"/>
      <c r="E91" s="852"/>
      <c r="F91" s="852"/>
      <c r="G91" s="852"/>
      <c r="H91" s="852"/>
      <c r="I91" s="852"/>
      <c r="J91" s="852"/>
      <c r="K91" s="852"/>
      <c r="L91" s="852"/>
      <c r="M91" s="852"/>
      <c r="N91" s="852"/>
      <c r="O91" s="852"/>
      <c r="P91" s="852"/>
      <c r="Q91" s="853"/>
    </row>
    <row r="92" spans="1:17" ht="12.75">
      <c r="A92" s="848"/>
      <c r="B92" s="299" t="s">
        <v>671</v>
      </c>
      <c r="C92" s="844" t="s">
        <v>142</v>
      </c>
      <c r="D92" s="845"/>
      <c r="E92" s="845"/>
      <c r="F92" s="845"/>
      <c r="G92" s="845"/>
      <c r="H92" s="845"/>
      <c r="I92" s="845"/>
      <c r="J92" s="845"/>
      <c r="K92" s="845"/>
      <c r="L92" s="845"/>
      <c r="M92" s="845"/>
      <c r="N92" s="845"/>
      <c r="O92" s="845"/>
      <c r="P92" s="845"/>
      <c r="Q92" s="846"/>
    </row>
    <row r="93" spans="1:17" ht="11.25">
      <c r="A93" s="848"/>
      <c r="B93" s="299" t="s">
        <v>672</v>
      </c>
      <c r="C93" s="665"/>
      <c r="D93" s="664"/>
      <c r="E93" s="651">
        <f>SUM(F93)</f>
        <v>97010</v>
      </c>
      <c r="F93" s="651">
        <f>SUM(F94:F97)+2102</f>
        <v>97010</v>
      </c>
      <c r="G93" s="651">
        <f>SUM(G94:G96)</f>
        <v>0</v>
      </c>
      <c r="H93" s="651">
        <f>SUM(I93,M93)</f>
        <v>38419</v>
      </c>
      <c r="I93" s="651">
        <f>J93+K93+L93</f>
        <v>38419</v>
      </c>
      <c r="J93" s="651">
        <v>0</v>
      </c>
      <c r="K93" s="651">
        <v>0</v>
      </c>
      <c r="L93" s="651">
        <v>38419</v>
      </c>
      <c r="M93" s="651">
        <f>N93+O93+P93+Q93</f>
        <v>0</v>
      </c>
      <c r="N93" s="651">
        <v>0</v>
      </c>
      <c r="O93" s="651"/>
      <c r="P93" s="651">
        <v>0</v>
      </c>
      <c r="Q93" s="651">
        <v>0</v>
      </c>
    </row>
    <row r="94" spans="1:17" ht="11.25">
      <c r="A94" s="870"/>
      <c r="B94" s="297" t="s">
        <v>173</v>
      </c>
      <c r="C94" s="665"/>
      <c r="D94" s="664"/>
      <c r="E94" s="651">
        <f>SUM(F94:G94)</f>
        <v>38419</v>
      </c>
      <c r="F94" s="651">
        <f>SUM(I93)</f>
        <v>38419</v>
      </c>
      <c r="G94" s="653">
        <f>SUM(M93)</f>
        <v>0</v>
      </c>
      <c r="H94" s="711"/>
      <c r="I94" s="711"/>
      <c r="J94" s="711"/>
      <c r="K94" s="711"/>
      <c r="L94" s="711"/>
      <c r="M94" s="712"/>
      <c r="N94" s="713"/>
      <c r="O94" s="713"/>
      <c r="P94" s="662"/>
      <c r="Q94" s="662"/>
    </row>
    <row r="95" spans="1:17" ht="15.75" customHeight="1">
      <c r="A95" s="847" t="s">
        <v>144</v>
      </c>
      <c r="B95" s="297" t="s">
        <v>229</v>
      </c>
      <c r="C95" s="666"/>
      <c r="D95" s="873" t="s">
        <v>143</v>
      </c>
      <c r="E95" s="651">
        <f>SUM(F95,G95)</f>
        <v>41423</v>
      </c>
      <c r="F95" s="651">
        <v>41423</v>
      </c>
      <c r="G95" s="653">
        <v>0</v>
      </c>
      <c r="H95" s="654"/>
      <c r="I95" s="654"/>
      <c r="J95" s="654"/>
      <c r="K95" s="654"/>
      <c r="L95" s="654"/>
      <c r="M95" s="655"/>
      <c r="N95" s="656"/>
      <c r="O95" s="656"/>
      <c r="P95" s="656"/>
      <c r="Q95" s="656"/>
    </row>
    <row r="96" spans="1:17" ht="11.25">
      <c r="A96" s="848"/>
      <c r="B96" s="297" t="s">
        <v>738</v>
      </c>
      <c r="C96" s="667"/>
      <c r="D96" s="874"/>
      <c r="E96" s="651">
        <f>SUM(F96,G96)</f>
        <v>15066</v>
      </c>
      <c r="F96" s="651">
        <v>15066</v>
      </c>
      <c r="G96" s="653">
        <v>0</v>
      </c>
      <c r="H96" s="657"/>
      <c r="I96" s="657"/>
      <c r="J96" s="657"/>
      <c r="K96" s="657"/>
      <c r="L96" s="657"/>
      <c r="M96" s="658"/>
      <c r="N96" s="659"/>
      <c r="O96" s="659"/>
      <c r="P96" s="659"/>
      <c r="Q96" s="659"/>
    </row>
    <row r="97" spans="1:17" ht="11.25">
      <c r="A97" s="870"/>
      <c r="B97" s="297" t="s">
        <v>739</v>
      </c>
      <c r="C97" s="668"/>
      <c r="D97" s="878"/>
      <c r="E97" s="651">
        <f>SUM(F97,G97)</f>
        <v>0</v>
      </c>
      <c r="F97" s="651">
        <v>0</v>
      </c>
      <c r="G97" s="653">
        <v>0</v>
      </c>
      <c r="H97" s="660"/>
      <c r="I97" s="660"/>
      <c r="J97" s="660"/>
      <c r="K97" s="660"/>
      <c r="L97" s="660"/>
      <c r="M97" s="661"/>
      <c r="N97" s="662"/>
      <c r="O97" s="662"/>
      <c r="P97" s="662"/>
      <c r="Q97" s="662"/>
    </row>
    <row r="98" spans="1:17" ht="12.75">
      <c r="A98" s="847" t="s">
        <v>145</v>
      </c>
      <c r="B98" s="299" t="s">
        <v>668</v>
      </c>
      <c r="C98" s="849" t="s">
        <v>146</v>
      </c>
      <c r="D98" s="850"/>
      <c r="E98" s="850"/>
      <c r="F98" s="850"/>
      <c r="G98" s="850"/>
      <c r="H98" s="850"/>
      <c r="I98" s="850"/>
      <c r="J98" s="850"/>
      <c r="K98" s="850"/>
      <c r="L98" s="850"/>
      <c r="M98" s="850"/>
      <c r="N98" s="850"/>
      <c r="O98" s="850"/>
      <c r="P98" s="850"/>
      <c r="Q98" s="850"/>
    </row>
    <row r="99" spans="1:17" ht="12.75">
      <c r="A99" s="848"/>
      <c r="B99" s="299" t="s">
        <v>669</v>
      </c>
      <c r="C99" s="851" t="s">
        <v>147</v>
      </c>
      <c r="D99" s="852"/>
      <c r="E99" s="852"/>
      <c r="F99" s="852"/>
      <c r="G99" s="852"/>
      <c r="H99" s="852"/>
      <c r="I99" s="852"/>
      <c r="J99" s="852"/>
      <c r="K99" s="852"/>
      <c r="L99" s="852"/>
      <c r="M99" s="852"/>
      <c r="N99" s="852"/>
      <c r="O99" s="852"/>
      <c r="P99" s="852"/>
      <c r="Q99" s="853"/>
    </row>
    <row r="100" spans="1:17" ht="12.75">
      <c r="A100" s="848"/>
      <c r="B100" s="299" t="s">
        <v>670</v>
      </c>
      <c r="C100" s="851" t="s">
        <v>148</v>
      </c>
      <c r="D100" s="852"/>
      <c r="E100" s="852"/>
      <c r="F100" s="852"/>
      <c r="G100" s="852"/>
      <c r="H100" s="852"/>
      <c r="I100" s="852"/>
      <c r="J100" s="852"/>
      <c r="K100" s="852"/>
      <c r="L100" s="852"/>
      <c r="M100" s="852"/>
      <c r="N100" s="852"/>
      <c r="O100" s="852"/>
      <c r="P100" s="852"/>
      <c r="Q100" s="853"/>
    </row>
    <row r="101" spans="1:17" ht="12.75">
      <c r="A101" s="848"/>
      <c r="B101" s="299" t="s">
        <v>671</v>
      </c>
      <c r="C101" s="844" t="s">
        <v>149</v>
      </c>
      <c r="D101" s="845"/>
      <c r="E101" s="845"/>
      <c r="F101" s="845"/>
      <c r="G101" s="845"/>
      <c r="H101" s="845"/>
      <c r="I101" s="845"/>
      <c r="J101" s="845"/>
      <c r="K101" s="845"/>
      <c r="L101" s="845"/>
      <c r="M101" s="845"/>
      <c r="N101" s="845"/>
      <c r="O101" s="845"/>
      <c r="P101" s="845"/>
      <c r="Q101" s="846"/>
    </row>
    <row r="102" spans="1:17" ht="11.25">
      <c r="A102" s="848"/>
      <c r="B102" s="299" t="s">
        <v>672</v>
      </c>
      <c r="C102" s="665"/>
      <c r="D102" s="664"/>
      <c r="E102" s="651">
        <f>SUM(G102)</f>
        <v>154785</v>
      </c>
      <c r="F102" s="651">
        <f>SUM(F103:F106)</f>
        <v>0</v>
      </c>
      <c r="G102" s="651">
        <f>SUM(G103:G105)+78924</f>
        <v>154785</v>
      </c>
      <c r="H102" s="651">
        <f>SUM(I102,M102)</f>
        <v>75861</v>
      </c>
      <c r="I102" s="651">
        <f>J102+K102+L102</f>
        <v>0</v>
      </c>
      <c r="J102" s="651">
        <v>0</v>
      </c>
      <c r="K102" s="651">
        <v>0</v>
      </c>
      <c r="L102" s="651">
        <v>0</v>
      </c>
      <c r="M102" s="651">
        <f>N102+O102+P102+Q102</f>
        <v>75861</v>
      </c>
      <c r="N102" s="651">
        <v>0</v>
      </c>
      <c r="O102" s="651"/>
      <c r="P102" s="651">
        <v>0</v>
      </c>
      <c r="Q102" s="651">
        <v>75861</v>
      </c>
    </row>
    <row r="103" spans="1:17" ht="11.25">
      <c r="A103" s="848"/>
      <c r="B103" s="297" t="s">
        <v>173</v>
      </c>
      <c r="C103" s="871">
        <v>73</v>
      </c>
      <c r="D103" s="873" t="s">
        <v>150</v>
      </c>
      <c r="E103" s="651">
        <f>SUM(F103:G103)</f>
        <v>75861</v>
      </c>
      <c r="F103" s="651">
        <f>SUM(I102)</f>
        <v>0</v>
      </c>
      <c r="G103" s="653">
        <f>SUM(M102)</f>
        <v>75861</v>
      </c>
      <c r="H103" s="654"/>
      <c r="I103" s="654"/>
      <c r="J103" s="654"/>
      <c r="K103" s="654"/>
      <c r="L103" s="654"/>
      <c r="M103" s="655"/>
      <c r="N103" s="656"/>
      <c r="O103" s="656"/>
      <c r="P103" s="656"/>
      <c r="Q103" s="656"/>
    </row>
    <row r="104" spans="1:17" ht="11.25">
      <c r="A104" s="848"/>
      <c r="B104" s="297" t="s">
        <v>229</v>
      </c>
      <c r="C104" s="872"/>
      <c r="D104" s="874"/>
      <c r="E104" s="651">
        <f>SUM(F104,G104)</f>
        <v>0</v>
      </c>
      <c r="F104" s="651">
        <v>0</v>
      </c>
      <c r="G104" s="653">
        <v>0</v>
      </c>
      <c r="H104" s="657"/>
      <c r="I104" s="657"/>
      <c r="J104" s="657"/>
      <c r="K104" s="657"/>
      <c r="L104" s="657"/>
      <c r="M104" s="658"/>
      <c r="N104" s="659"/>
      <c r="O104" s="659"/>
      <c r="P104" s="659"/>
      <c r="Q104" s="659"/>
    </row>
    <row r="105" spans="1:17" ht="11.25">
      <c r="A105" s="848"/>
      <c r="B105" s="297" t="s">
        <v>738</v>
      </c>
      <c r="C105" s="872"/>
      <c r="D105" s="874"/>
      <c r="E105" s="651">
        <f>SUM(F105,G105)</f>
        <v>0</v>
      </c>
      <c r="F105" s="651">
        <v>0</v>
      </c>
      <c r="G105" s="653">
        <v>0</v>
      </c>
      <c r="H105" s="657"/>
      <c r="I105" s="657"/>
      <c r="J105" s="657"/>
      <c r="K105" s="657"/>
      <c r="L105" s="657"/>
      <c r="M105" s="658"/>
      <c r="N105" s="659"/>
      <c r="O105" s="659"/>
      <c r="P105" s="659"/>
      <c r="Q105" s="659"/>
    </row>
    <row r="106" spans="1:17" ht="11.25">
      <c r="A106" s="848"/>
      <c r="B106" s="297" t="s">
        <v>739</v>
      </c>
      <c r="C106" s="872"/>
      <c r="D106" s="874"/>
      <c r="E106" s="651">
        <f>SUM(F106,G106)</f>
        <v>0</v>
      </c>
      <c r="F106" s="651">
        <v>0</v>
      </c>
      <c r="G106" s="653">
        <v>0</v>
      </c>
      <c r="H106" s="657"/>
      <c r="I106" s="657"/>
      <c r="J106" s="657"/>
      <c r="K106" s="657"/>
      <c r="L106" s="657"/>
      <c r="M106" s="658"/>
      <c r="N106" s="659"/>
      <c r="O106" s="659"/>
      <c r="P106" s="659"/>
      <c r="Q106" s="659"/>
    </row>
    <row r="107" spans="1:17" ht="11.25">
      <c r="A107" s="870"/>
      <c r="B107" s="297" t="s">
        <v>740</v>
      </c>
      <c r="C107" s="880"/>
      <c r="D107" s="878"/>
      <c r="E107" s="651">
        <f>SUM(F107,G107)</f>
        <v>0</v>
      </c>
      <c r="F107" s="651">
        <v>0</v>
      </c>
      <c r="G107" s="653">
        <v>0</v>
      </c>
      <c r="H107" s="660"/>
      <c r="I107" s="660"/>
      <c r="J107" s="660"/>
      <c r="K107" s="660"/>
      <c r="L107" s="660"/>
      <c r="M107" s="661"/>
      <c r="N107" s="662"/>
      <c r="O107" s="662"/>
      <c r="P107" s="662"/>
      <c r="Q107" s="662"/>
    </row>
    <row r="108" spans="1:17" ht="12.75">
      <c r="A108" s="847" t="s">
        <v>151</v>
      </c>
      <c r="B108" s="299" t="s">
        <v>668</v>
      </c>
      <c r="C108" s="849" t="s">
        <v>146</v>
      </c>
      <c r="D108" s="850"/>
      <c r="E108" s="850"/>
      <c r="F108" s="850"/>
      <c r="G108" s="850"/>
      <c r="H108" s="850"/>
      <c r="I108" s="850"/>
      <c r="J108" s="850"/>
      <c r="K108" s="850"/>
      <c r="L108" s="850"/>
      <c r="M108" s="850"/>
      <c r="N108" s="850"/>
      <c r="O108" s="850"/>
      <c r="P108" s="850"/>
      <c r="Q108" s="850"/>
    </row>
    <row r="109" spans="1:17" ht="12.75">
      <c r="A109" s="848"/>
      <c r="B109" s="299" t="s">
        <v>669</v>
      </c>
      <c r="C109" s="851" t="s">
        <v>152</v>
      </c>
      <c r="D109" s="852"/>
      <c r="E109" s="852"/>
      <c r="F109" s="852"/>
      <c r="G109" s="852"/>
      <c r="H109" s="852"/>
      <c r="I109" s="852"/>
      <c r="J109" s="852"/>
      <c r="K109" s="852"/>
      <c r="L109" s="852"/>
      <c r="M109" s="852"/>
      <c r="N109" s="852"/>
      <c r="O109" s="852"/>
      <c r="P109" s="852"/>
      <c r="Q109" s="853"/>
    </row>
    <row r="110" spans="1:17" ht="12.75">
      <c r="A110" s="848"/>
      <c r="B110" s="299" t="s">
        <v>670</v>
      </c>
      <c r="C110" s="851" t="s">
        <v>153</v>
      </c>
      <c r="D110" s="852"/>
      <c r="E110" s="852"/>
      <c r="F110" s="852"/>
      <c r="G110" s="852"/>
      <c r="H110" s="852"/>
      <c r="I110" s="852"/>
      <c r="J110" s="852"/>
      <c r="K110" s="852"/>
      <c r="L110" s="852"/>
      <c r="M110" s="852"/>
      <c r="N110" s="852"/>
      <c r="O110" s="852"/>
      <c r="P110" s="852"/>
      <c r="Q110" s="853"/>
    </row>
    <row r="111" spans="1:17" ht="12.75">
      <c r="A111" s="848"/>
      <c r="B111" s="299" t="s">
        <v>671</v>
      </c>
      <c r="C111" s="844" t="s">
        <v>154</v>
      </c>
      <c r="D111" s="845"/>
      <c r="E111" s="845"/>
      <c r="F111" s="845"/>
      <c r="G111" s="845"/>
      <c r="H111" s="845"/>
      <c r="I111" s="845"/>
      <c r="J111" s="845"/>
      <c r="K111" s="845"/>
      <c r="L111" s="845"/>
      <c r="M111" s="845"/>
      <c r="N111" s="845"/>
      <c r="O111" s="845"/>
      <c r="P111" s="845"/>
      <c r="Q111" s="846"/>
    </row>
    <row r="112" spans="1:17" ht="11.25">
      <c r="A112" s="848"/>
      <c r="B112" s="299" t="s">
        <v>672</v>
      </c>
      <c r="C112" s="665"/>
      <c r="D112" s="664"/>
      <c r="E112" s="651">
        <f>SUM(G112)</f>
        <v>452074</v>
      </c>
      <c r="F112" s="651">
        <f>SUM(F113:F116)</f>
        <v>0</v>
      </c>
      <c r="G112" s="651">
        <f>SUM(G113:G116)+41159</f>
        <v>452074</v>
      </c>
      <c r="H112" s="651">
        <f>SUM(I112,M112)</f>
        <v>91872</v>
      </c>
      <c r="I112" s="651">
        <f>J112+K112+L112</f>
        <v>0</v>
      </c>
      <c r="J112" s="651">
        <v>0</v>
      </c>
      <c r="K112" s="651">
        <v>0</v>
      </c>
      <c r="L112" s="651">
        <v>0</v>
      </c>
      <c r="M112" s="651">
        <f>N112+O112+P112+Q112</f>
        <v>91872</v>
      </c>
      <c r="N112" s="651">
        <v>0</v>
      </c>
      <c r="O112" s="651"/>
      <c r="P112" s="651">
        <v>0</v>
      </c>
      <c r="Q112" s="651">
        <v>91872</v>
      </c>
    </row>
    <row r="113" spans="1:17" ht="11.25">
      <c r="A113" s="848"/>
      <c r="B113" s="297" t="s">
        <v>173</v>
      </c>
      <c r="C113" s="871">
        <v>65</v>
      </c>
      <c r="D113" s="873" t="s">
        <v>150</v>
      </c>
      <c r="E113" s="651">
        <f>SUM(F113:G113)</f>
        <v>91872</v>
      </c>
      <c r="F113" s="651">
        <f>SUM(I112)</f>
        <v>0</v>
      </c>
      <c r="G113" s="653">
        <f>SUM(M112)</f>
        <v>91872</v>
      </c>
      <c r="H113" s="654"/>
      <c r="I113" s="654"/>
      <c r="J113" s="654"/>
      <c r="K113" s="654"/>
      <c r="L113" s="654"/>
      <c r="M113" s="655"/>
      <c r="N113" s="656"/>
      <c r="O113" s="656"/>
      <c r="P113" s="659"/>
      <c r="Q113" s="659"/>
    </row>
    <row r="114" spans="1:17" ht="11.25">
      <c r="A114" s="848"/>
      <c r="B114" s="297" t="s">
        <v>229</v>
      </c>
      <c r="C114" s="872"/>
      <c r="D114" s="874"/>
      <c r="E114" s="651">
        <f>SUM(F114,G114)</f>
        <v>110312</v>
      </c>
      <c r="F114" s="651">
        <v>0</v>
      </c>
      <c r="G114" s="653">
        <v>110312</v>
      </c>
      <c r="H114" s="657"/>
      <c r="I114" s="657"/>
      <c r="J114" s="657"/>
      <c r="K114" s="657"/>
      <c r="L114" s="657"/>
      <c r="M114" s="658"/>
      <c r="N114" s="659"/>
      <c r="O114" s="659"/>
      <c r="P114" s="659"/>
      <c r="Q114" s="659"/>
    </row>
    <row r="115" spans="1:17" ht="11.25">
      <c r="A115" s="848"/>
      <c r="B115" s="297" t="s">
        <v>738</v>
      </c>
      <c r="C115" s="872"/>
      <c r="D115" s="874"/>
      <c r="E115" s="651">
        <f>SUM(F115,G115)</f>
        <v>117613</v>
      </c>
      <c r="F115" s="651">
        <v>0</v>
      </c>
      <c r="G115" s="653">
        <v>117613</v>
      </c>
      <c r="H115" s="657"/>
      <c r="I115" s="657"/>
      <c r="J115" s="657"/>
      <c r="K115" s="657"/>
      <c r="L115" s="657"/>
      <c r="M115" s="658"/>
      <c r="N115" s="659"/>
      <c r="O115" s="659"/>
      <c r="P115" s="659"/>
      <c r="Q115" s="659"/>
    </row>
    <row r="116" spans="1:17" ht="11.25">
      <c r="A116" s="848"/>
      <c r="B116" s="297" t="s">
        <v>739</v>
      </c>
      <c r="C116" s="872"/>
      <c r="D116" s="874"/>
      <c r="E116" s="651">
        <f>SUM(F116,G116)</f>
        <v>91118</v>
      </c>
      <c r="F116" s="651">
        <v>0</v>
      </c>
      <c r="G116" s="653">
        <v>91118</v>
      </c>
      <c r="H116" s="657"/>
      <c r="I116" s="657"/>
      <c r="J116" s="657"/>
      <c r="K116" s="657"/>
      <c r="L116" s="657"/>
      <c r="M116" s="658"/>
      <c r="N116" s="659"/>
      <c r="O116" s="659"/>
      <c r="P116" s="659"/>
      <c r="Q116" s="659"/>
    </row>
    <row r="117" spans="1:17" ht="12.75" hidden="1">
      <c r="A117" s="847" t="s">
        <v>155</v>
      </c>
      <c r="B117" s="299" t="s">
        <v>668</v>
      </c>
      <c r="C117" s="849" t="s">
        <v>146</v>
      </c>
      <c r="D117" s="850"/>
      <c r="E117" s="850"/>
      <c r="F117" s="850"/>
      <c r="G117" s="850"/>
      <c r="H117" s="850"/>
      <c r="I117" s="850"/>
      <c r="J117" s="850"/>
      <c r="K117" s="850"/>
      <c r="L117" s="850"/>
      <c r="M117" s="850"/>
      <c r="N117" s="850"/>
      <c r="O117" s="850"/>
      <c r="P117" s="850"/>
      <c r="Q117" s="850"/>
    </row>
    <row r="118" spans="1:17" ht="12.75" hidden="1">
      <c r="A118" s="848"/>
      <c r="B118" s="299" t="s">
        <v>669</v>
      </c>
      <c r="C118" s="851" t="s">
        <v>156</v>
      </c>
      <c r="D118" s="852"/>
      <c r="E118" s="852"/>
      <c r="F118" s="852"/>
      <c r="G118" s="852"/>
      <c r="H118" s="852"/>
      <c r="I118" s="852"/>
      <c r="J118" s="852"/>
      <c r="K118" s="852"/>
      <c r="L118" s="852"/>
      <c r="M118" s="852"/>
      <c r="N118" s="852"/>
      <c r="O118" s="852"/>
      <c r="P118" s="852"/>
      <c r="Q118" s="853"/>
    </row>
    <row r="119" spans="1:17" ht="12.75" hidden="1">
      <c r="A119" s="848"/>
      <c r="B119" s="299" t="s">
        <v>670</v>
      </c>
      <c r="C119" s="851" t="s">
        <v>157</v>
      </c>
      <c r="D119" s="852"/>
      <c r="E119" s="852"/>
      <c r="F119" s="852"/>
      <c r="G119" s="852"/>
      <c r="H119" s="852"/>
      <c r="I119" s="852"/>
      <c r="J119" s="852"/>
      <c r="K119" s="852"/>
      <c r="L119" s="852"/>
      <c r="M119" s="852"/>
      <c r="N119" s="852"/>
      <c r="O119" s="852"/>
      <c r="P119" s="852"/>
      <c r="Q119" s="853"/>
    </row>
    <row r="120" spans="1:17" ht="12.75" hidden="1">
      <c r="A120" s="848"/>
      <c r="B120" s="299" t="s">
        <v>671</v>
      </c>
      <c r="C120" s="844" t="s">
        <v>158</v>
      </c>
      <c r="D120" s="845"/>
      <c r="E120" s="845"/>
      <c r="F120" s="845"/>
      <c r="G120" s="845"/>
      <c r="H120" s="845"/>
      <c r="I120" s="845"/>
      <c r="J120" s="845"/>
      <c r="K120" s="845"/>
      <c r="L120" s="845"/>
      <c r="M120" s="845"/>
      <c r="N120" s="845"/>
      <c r="O120" s="845"/>
      <c r="P120" s="845"/>
      <c r="Q120" s="846"/>
    </row>
    <row r="121" spans="1:17" ht="11.25" hidden="1">
      <c r="A121" s="848"/>
      <c r="B121" s="299" t="s">
        <v>672</v>
      </c>
      <c r="C121" s="665"/>
      <c r="D121" s="664"/>
      <c r="E121" s="651">
        <f>SUM(E122:E125)</f>
        <v>0</v>
      </c>
      <c r="F121" s="651">
        <f>SUM(F122:F125)</f>
        <v>0</v>
      </c>
      <c r="G121" s="651">
        <f>SUM(G122:G124)</f>
        <v>0</v>
      </c>
      <c r="H121" s="651">
        <f>SUM(I121,M121)</f>
        <v>0</v>
      </c>
      <c r="I121" s="651">
        <f>J121+K121+L121</f>
        <v>0</v>
      </c>
      <c r="J121" s="651">
        <v>0</v>
      </c>
      <c r="K121" s="651">
        <v>0</v>
      </c>
      <c r="L121" s="651">
        <v>0</v>
      </c>
      <c r="M121" s="651">
        <f>N121+O121+P121+Q121</f>
        <v>0</v>
      </c>
      <c r="N121" s="651">
        <v>0</v>
      </c>
      <c r="O121" s="651"/>
      <c r="P121" s="651">
        <v>0</v>
      </c>
      <c r="Q121" s="651">
        <v>0</v>
      </c>
    </row>
    <row r="122" spans="1:17" ht="11.25" hidden="1">
      <c r="A122" s="848"/>
      <c r="B122" s="297" t="s">
        <v>173</v>
      </c>
      <c r="C122" s="871">
        <v>71</v>
      </c>
      <c r="D122" s="873" t="s">
        <v>150</v>
      </c>
      <c r="E122" s="651">
        <f>SUM(F122:G122)</f>
        <v>0</v>
      </c>
      <c r="F122" s="651">
        <f>SUM(I121)</f>
        <v>0</v>
      </c>
      <c r="G122" s="653">
        <f>SUM(M121)</f>
        <v>0</v>
      </c>
      <c r="H122" s="654"/>
      <c r="I122" s="654"/>
      <c r="J122" s="654"/>
      <c r="K122" s="654"/>
      <c r="L122" s="654"/>
      <c r="M122" s="655"/>
      <c r="N122" s="656"/>
      <c r="O122" s="656"/>
      <c r="P122" s="659"/>
      <c r="Q122" s="659"/>
    </row>
    <row r="123" spans="1:17" ht="11.25" hidden="1">
      <c r="A123" s="848"/>
      <c r="B123" s="297" t="s">
        <v>229</v>
      </c>
      <c r="C123" s="872"/>
      <c r="D123" s="874"/>
      <c r="E123" s="651">
        <f>SUM(F123,G123)</f>
        <v>0</v>
      </c>
      <c r="F123" s="651">
        <v>0</v>
      </c>
      <c r="G123" s="653">
        <v>0</v>
      </c>
      <c r="H123" s="657"/>
      <c r="I123" s="657"/>
      <c r="J123" s="657"/>
      <c r="K123" s="657"/>
      <c r="L123" s="657"/>
      <c r="M123" s="658"/>
      <c r="N123" s="659"/>
      <c r="O123" s="659"/>
      <c r="P123" s="659"/>
      <c r="Q123" s="659"/>
    </row>
    <row r="124" spans="1:17" ht="11.25" hidden="1">
      <c r="A124" s="848"/>
      <c r="B124" s="297" t="s">
        <v>738</v>
      </c>
      <c r="C124" s="872"/>
      <c r="D124" s="874"/>
      <c r="E124" s="651">
        <f>SUM(F124,G124)</f>
        <v>0</v>
      </c>
      <c r="F124" s="651">
        <v>0</v>
      </c>
      <c r="G124" s="653">
        <v>0</v>
      </c>
      <c r="H124" s="657"/>
      <c r="I124" s="657"/>
      <c r="J124" s="657"/>
      <c r="K124" s="657"/>
      <c r="L124" s="657"/>
      <c r="M124" s="658"/>
      <c r="N124" s="659"/>
      <c r="O124" s="659"/>
      <c r="P124" s="659"/>
      <c r="Q124" s="659"/>
    </row>
    <row r="125" spans="1:17" ht="11.25" hidden="1">
      <c r="A125" s="848"/>
      <c r="B125" s="297" t="s">
        <v>739</v>
      </c>
      <c r="C125" s="872"/>
      <c r="D125" s="874"/>
      <c r="E125" s="651">
        <f>SUM(F125,G125)</f>
        <v>0</v>
      </c>
      <c r="F125" s="651">
        <v>0</v>
      </c>
      <c r="G125" s="653">
        <v>0</v>
      </c>
      <c r="H125" s="657"/>
      <c r="I125" s="657"/>
      <c r="J125" s="657"/>
      <c r="K125" s="657"/>
      <c r="L125" s="657"/>
      <c r="M125" s="658"/>
      <c r="N125" s="659"/>
      <c r="O125" s="659"/>
      <c r="P125" s="659"/>
      <c r="Q125" s="659"/>
    </row>
    <row r="126" spans="1:17" ht="11.25" hidden="1">
      <c r="A126" s="870"/>
      <c r="B126" s="297" t="s">
        <v>740</v>
      </c>
      <c r="C126" s="880"/>
      <c r="D126" s="878"/>
      <c r="E126" s="651">
        <f>SUM(F126,G126)</f>
        <v>0</v>
      </c>
      <c r="F126" s="651">
        <v>0</v>
      </c>
      <c r="G126" s="653">
        <v>0</v>
      </c>
      <c r="H126" s="660"/>
      <c r="I126" s="660"/>
      <c r="J126" s="660"/>
      <c r="K126" s="660"/>
      <c r="L126" s="660"/>
      <c r="M126" s="661"/>
      <c r="N126" s="662"/>
      <c r="O126" s="662"/>
      <c r="P126" s="662"/>
      <c r="Q126" s="662"/>
    </row>
    <row r="127" spans="1:17" ht="11.25">
      <c r="A127" s="863" t="s">
        <v>675</v>
      </c>
      <c r="B127" s="864"/>
      <c r="C127" s="863" t="s">
        <v>666</v>
      </c>
      <c r="D127" s="864"/>
      <c r="E127" s="521">
        <f aca="true" t="shared" si="2" ref="E127:Q127">SUM(E88,E14)</f>
        <v>27055516</v>
      </c>
      <c r="F127" s="521">
        <f t="shared" si="2"/>
        <v>9414338</v>
      </c>
      <c r="G127" s="521">
        <f t="shared" si="2"/>
        <v>17641178</v>
      </c>
      <c r="H127" s="521">
        <f t="shared" si="2"/>
        <v>11437986</v>
      </c>
      <c r="I127" s="521">
        <f t="shared" si="2"/>
        <v>4169107</v>
      </c>
      <c r="J127" s="521">
        <f t="shared" si="2"/>
        <v>50000</v>
      </c>
      <c r="K127" s="521">
        <f t="shared" si="2"/>
        <v>0</v>
      </c>
      <c r="L127" s="521">
        <f t="shared" si="2"/>
        <v>4119107</v>
      </c>
      <c r="M127" s="521">
        <f t="shared" si="2"/>
        <v>7268879</v>
      </c>
      <c r="N127" s="521">
        <f t="shared" si="2"/>
        <v>0</v>
      </c>
      <c r="O127" s="521">
        <f t="shared" si="2"/>
        <v>0</v>
      </c>
      <c r="P127" s="521">
        <f t="shared" si="2"/>
        <v>0</v>
      </c>
      <c r="Q127" s="521">
        <f t="shared" si="2"/>
        <v>7268879</v>
      </c>
    </row>
    <row r="128" spans="1:17" ht="11.25">
      <c r="A128" s="881" t="s">
        <v>159</v>
      </c>
      <c r="B128" s="881"/>
      <c r="C128" s="881"/>
      <c r="D128" s="881"/>
      <c r="E128" s="881"/>
      <c r="F128" s="881"/>
      <c r="G128" s="881"/>
      <c r="H128" s="881"/>
      <c r="I128" s="881"/>
      <c r="J128" s="881"/>
      <c r="K128" s="522"/>
      <c r="L128" s="522"/>
      <c r="M128" s="522"/>
      <c r="N128" s="522"/>
      <c r="O128" s="522"/>
      <c r="P128" s="522"/>
      <c r="Q128" s="522"/>
    </row>
    <row r="129" spans="1:17" ht="11.25">
      <c r="A129" s="522" t="s">
        <v>160</v>
      </c>
      <c r="B129" s="522"/>
      <c r="C129" s="522"/>
      <c r="D129" s="522"/>
      <c r="E129" s="522"/>
      <c r="F129" s="522"/>
      <c r="G129" s="522"/>
      <c r="H129" s="522"/>
      <c r="I129" s="522"/>
      <c r="J129" s="522"/>
      <c r="K129" s="522"/>
      <c r="L129" s="522"/>
      <c r="M129" s="522"/>
      <c r="N129" s="522"/>
      <c r="O129" s="522"/>
      <c r="P129" s="522"/>
      <c r="Q129" s="522"/>
    </row>
    <row r="130" spans="1:17" ht="11.25">
      <c r="A130" s="113" t="s">
        <v>161</v>
      </c>
      <c r="B130" s="882" t="s">
        <v>162</v>
      </c>
      <c r="C130" s="882"/>
      <c r="D130" s="882"/>
      <c r="E130" s="882"/>
      <c r="F130" s="882"/>
      <c r="G130" s="882"/>
      <c r="H130" s="882"/>
      <c r="I130" s="882"/>
      <c r="J130" s="882"/>
      <c r="K130" s="882"/>
      <c r="L130" s="882"/>
      <c r="M130" s="882"/>
      <c r="N130" s="882"/>
      <c r="O130" s="882"/>
      <c r="P130" s="882"/>
      <c r="Q130" s="882"/>
    </row>
    <row r="131" spans="2:17" ht="11.25">
      <c r="B131" s="882"/>
      <c r="C131" s="882"/>
      <c r="D131" s="882"/>
      <c r="E131" s="882"/>
      <c r="F131" s="882"/>
      <c r="G131" s="882"/>
      <c r="H131" s="882"/>
      <c r="I131" s="882"/>
      <c r="J131" s="882"/>
      <c r="K131" s="882"/>
      <c r="L131" s="882"/>
      <c r="M131" s="882"/>
      <c r="N131" s="882"/>
      <c r="O131" s="882"/>
      <c r="P131" s="882"/>
      <c r="Q131" s="882"/>
    </row>
  </sheetData>
  <mergeCells count="139">
    <mergeCell ref="A95:A97"/>
    <mergeCell ref="A98:A107"/>
    <mergeCell ref="C65:C68"/>
    <mergeCell ref="D65:D68"/>
    <mergeCell ref="C103:C107"/>
    <mergeCell ref="D103:D107"/>
    <mergeCell ref="C98:Q98"/>
    <mergeCell ref="C99:Q99"/>
    <mergeCell ref="C100:Q100"/>
    <mergeCell ref="C101:Q101"/>
    <mergeCell ref="A33:A40"/>
    <mergeCell ref="A60:A68"/>
    <mergeCell ref="C60:Q60"/>
    <mergeCell ref="C61:Q61"/>
    <mergeCell ref="C62:Q62"/>
    <mergeCell ref="C63:Q63"/>
    <mergeCell ref="P38:P40"/>
    <mergeCell ref="Q38:Q40"/>
    <mergeCell ref="A41:A50"/>
    <mergeCell ref="C41:Q41"/>
    <mergeCell ref="A127:B127"/>
    <mergeCell ref="C127:D127"/>
    <mergeCell ref="A128:J128"/>
    <mergeCell ref="B130:Q131"/>
    <mergeCell ref="A117:A126"/>
    <mergeCell ref="C117:Q117"/>
    <mergeCell ref="C118:Q118"/>
    <mergeCell ref="C119:Q119"/>
    <mergeCell ref="C120:Q120"/>
    <mergeCell ref="C122:C126"/>
    <mergeCell ref="D122:D126"/>
    <mergeCell ref="A108:A116"/>
    <mergeCell ref="C108:Q108"/>
    <mergeCell ref="C109:Q109"/>
    <mergeCell ref="C110:Q110"/>
    <mergeCell ref="C111:Q111"/>
    <mergeCell ref="C113:C116"/>
    <mergeCell ref="D113:D116"/>
    <mergeCell ref="C88:D88"/>
    <mergeCell ref="C89:Q89"/>
    <mergeCell ref="C90:Q90"/>
    <mergeCell ref="C91:Q91"/>
    <mergeCell ref="C92:Q92"/>
    <mergeCell ref="A89:A94"/>
    <mergeCell ref="D95:D97"/>
    <mergeCell ref="C74:C77"/>
    <mergeCell ref="D74:D77"/>
    <mergeCell ref="A78:A87"/>
    <mergeCell ref="C78:Q78"/>
    <mergeCell ref="C79:Q79"/>
    <mergeCell ref="C80:Q80"/>
    <mergeCell ref="C81:Q81"/>
    <mergeCell ref="C83:C87"/>
    <mergeCell ref="D83:D87"/>
    <mergeCell ref="C69:Q69"/>
    <mergeCell ref="C70:Q70"/>
    <mergeCell ref="C71:Q71"/>
    <mergeCell ref="C72:Q72"/>
    <mergeCell ref="A69:A77"/>
    <mergeCell ref="A51:A59"/>
    <mergeCell ref="C51:Q51"/>
    <mergeCell ref="C52:Q52"/>
    <mergeCell ref="C53:Q53"/>
    <mergeCell ref="C54:Q54"/>
    <mergeCell ref="C55:C59"/>
    <mergeCell ref="D55:D59"/>
    <mergeCell ref="C42:Q42"/>
    <mergeCell ref="C43:Q43"/>
    <mergeCell ref="C44:Q44"/>
    <mergeCell ref="C45:C50"/>
    <mergeCell ref="D45:D50"/>
    <mergeCell ref="L38:L40"/>
    <mergeCell ref="M38:M40"/>
    <mergeCell ref="N38:N40"/>
    <mergeCell ref="O38:O40"/>
    <mergeCell ref="H38:H40"/>
    <mergeCell ref="I38:I40"/>
    <mergeCell ref="J38:J40"/>
    <mergeCell ref="K38:K40"/>
    <mergeCell ref="C38:C40"/>
    <mergeCell ref="D38:D40"/>
    <mergeCell ref="A5:Q5"/>
    <mergeCell ref="A7:A12"/>
    <mergeCell ref="B7:B12"/>
    <mergeCell ref="C7:C12"/>
    <mergeCell ref="D7:D12"/>
    <mergeCell ref="E7:E12"/>
    <mergeCell ref="F7:G7"/>
    <mergeCell ref="H7:Q7"/>
    <mergeCell ref="F8:F12"/>
    <mergeCell ref="G8:G12"/>
    <mergeCell ref="H8:Q8"/>
    <mergeCell ref="H9:H12"/>
    <mergeCell ref="I9:Q9"/>
    <mergeCell ref="I10:L10"/>
    <mergeCell ref="M10:Q10"/>
    <mergeCell ref="I11:I12"/>
    <mergeCell ref="J11:L11"/>
    <mergeCell ref="M11:M12"/>
    <mergeCell ref="N11:Q11"/>
    <mergeCell ref="K20:K23"/>
    <mergeCell ref="L20:L23"/>
    <mergeCell ref="N29:N32"/>
    <mergeCell ref="C24:Q24"/>
    <mergeCell ref="N20:N23"/>
    <mergeCell ref="O20:O23"/>
    <mergeCell ref="P20:P23"/>
    <mergeCell ref="Q20:Q23"/>
    <mergeCell ref="M20:M23"/>
    <mergeCell ref="C14:D14"/>
    <mergeCell ref="C15:Q15"/>
    <mergeCell ref="C16:Q16"/>
    <mergeCell ref="C17:Q17"/>
    <mergeCell ref="A15:A23"/>
    <mergeCell ref="C20:C23"/>
    <mergeCell ref="D20:D23"/>
    <mergeCell ref="H20:H23"/>
    <mergeCell ref="C18:Q18"/>
    <mergeCell ref="I20:I23"/>
    <mergeCell ref="J20:J23"/>
    <mergeCell ref="C26:Q26"/>
    <mergeCell ref="O29:O32"/>
    <mergeCell ref="P29:P32"/>
    <mergeCell ref="C27:Q27"/>
    <mergeCell ref="C29:C32"/>
    <mergeCell ref="D29:D32"/>
    <mergeCell ref="H29:H32"/>
    <mergeCell ref="I29:I32"/>
    <mergeCell ref="J29:J32"/>
    <mergeCell ref="C36:Q36"/>
    <mergeCell ref="A24:A32"/>
    <mergeCell ref="C33:Q33"/>
    <mergeCell ref="C34:Q34"/>
    <mergeCell ref="C35:Q35"/>
    <mergeCell ref="K29:K32"/>
    <mergeCell ref="Q29:Q32"/>
    <mergeCell ref="L29:L32"/>
    <mergeCell ref="M29:M32"/>
    <mergeCell ref="C25:Q25"/>
  </mergeCells>
  <printOptions/>
  <pageMargins left="0.17" right="0.25" top="1.21" bottom="0.63" header="0.81" footer="0.26"/>
  <pageSetup horizontalDpi="600" verticalDpi="600" orientation="landscape" paperSize="9" scale="95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8"/>
  <dimension ref="A1:F82"/>
  <sheetViews>
    <sheetView workbookViewId="0" topLeftCell="A1">
      <selection activeCell="F7" sqref="F7"/>
    </sheetView>
  </sheetViews>
  <sheetFormatPr defaultColWidth="9.00390625" defaultRowHeight="12.75"/>
  <cols>
    <col min="1" max="1" width="4.75390625" style="1" bestFit="1" customWidth="1"/>
    <col min="2" max="2" width="42.00390625" style="1" customWidth="1"/>
    <col min="3" max="3" width="24.00390625" style="1" hidden="1" customWidth="1"/>
    <col min="4" max="4" width="12.875" style="1" customWidth="1"/>
    <col min="5" max="5" width="15.875" style="1" customWidth="1"/>
    <col min="6" max="6" width="15.75390625" style="1" customWidth="1"/>
    <col min="7" max="16384" width="9.125" style="1" customWidth="1"/>
  </cols>
  <sheetData>
    <row r="1" spans="1:6" s="187" customFormat="1" ht="19.5" customHeight="1">
      <c r="A1" s="885" t="s">
        <v>118</v>
      </c>
      <c r="B1" s="885"/>
      <c r="C1" s="885"/>
      <c r="D1" s="885"/>
      <c r="E1" s="885"/>
      <c r="F1" s="885"/>
    </row>
    <row r="2" spans="1:6" s="187" customFormat="1" ht="15" customHeight="1">
      <c r="A2" s="885"/>
      <c r="B2" s="885"/>
      <c r="C2" s="885"/>
      <c r="D2" s="885"/>
      <c r="E2" s="885"/>
      <c r="F2" s="885"/>
    </row>
    <row r="3" s="187" customFormat="1" ht="13.5" thickBot="1">
      <c r="F3" s="364" t="s">
        <v>356</v>
      </c>
    </row>
    <row r="4" spans="1:6" s="187" customFormat="1" ht="15.75" thickBot="1">
      <c r="A4" s="330" t="s">
        <v>300</v>
      </c>
      <c r="B4" s="330" t="s">
        <v>297</v>
      </c>
      <c r="C4" s="330" t="s">
        <v>315</v>
      </c>
      <c r="D4" s="331" t="s">
        <v>315</v>
      </c>
      <c r="E4" s="883" t="s">
        <v>298</v>
      </c>
      <c r="F4" s="884"/>
    </row>
    <row r="5" spans="1:6" s="187" customFormat="1" ht="30.75" thickBot="1">
      <c r="A5" s="332"/>
      <c r="B5" s="332"/>
      <c r="C5" s="333" t="s">
        <v>316</v>
      </c>
      <c r="D5" s="334" t="s">
        <v>251</v>
      </c>
      <c r="E5" s="328" t="s">
        <v>117</v>
      </c>
      <c r="F5" s="328" t="s">
        <v>12</v>
      </c>
    </row>
    <row r="6" spans="1:6" s="187" customFormat="1" ht="9" customHeight="1" thickBot="1">
      <c r="A6" s="329">
        <v>1</v>
      </c>
      <c r="B6" s="329">
        <v>2</v>
      </c>
      <c r="C6" s="329">
        <v>3</v>
      </c>
      <c r="D6" s="329"/>
      <c r="E6" s="329">
        <v>3</v>
      </c>
      <c r="F6" s="329">
        <v>4</v>
      </c>
    </row>
    <row r="7" spans="1:6" s="187" customFormat="1" ht="19.5" customHeight="1">
      <c r="A7" s="335" t="s">
        <v>302</v>
      </c>
      <c r="B7" s="336" t="s">
        <v>317</v>
      </c>
      <c r="C7" s="188"/>
      <c r="D7" s="188"/>
      <c r="E7" s="318">
        <v>63042125</v>
      </c>
      <c r="F7" s="318">
        <v>79661634</v>
      </c>
    </row>
    <row r="8" spans="1:6" s="187" customFormat="1" ht="19.5" customHeight="1">
      <c r="A8" s="337" t="s">
        <v>306</v>
      </c>
      <c r="B8" s="338" t="s">
        <v>318</v>
      </c>
      <c r="C8" s="189"/>
      <c r="D8" s="189"/>
      <c r="E8" s="319">
        <v>65597699</v>
      </c>
      <c r="F8" s="319">
        <v>83551097</v>
      </c>
    </row>
    <row r="9" spans="1:6" s="187" customFormat="1" ht="19.5" customHeight="1" hidden="1">
      <c r="A9" s="339"/>
      <c r="B9" s="340"/>
      <c r="C9" s="189"/>
      <c r="D9" s="189"/>
      <c r="E9" s="319"/>
      <c r="F9" s="319"/>
    </row>
    <row r="10" spans="1:6" s="187" customFormat="1" ht="19.5" customHeight="1">
      <c r="A10" s="337"/>
      <c r="B10" s="338" t="s">
        <v>346</v>
      </c>
      <c r="C10" s="189"/>
      <c r="D10" s="189"/>
      <c r="E10" s="319">
        <f>E7-E8</f>
        <v>-2555574</v>
      </c>
      <c r="F10" s="319">
        <f>F7-F8</f>
        <v>-3889463</v>
      </c>
    </row>
    <row r="11" spans="1:6" s="187" customFormat="1" ht="0.75" customHeight="1" thickBot="1">
      <c r="A11" s="341"/>
      <c r="B11" s="336"/>
      <c r="C11" s="188"/>
      <c r="D11" s="188"/>
      <c r="E11" s="318"/>
      <c r="F11" s="318"/>
    </row>
    <row r="12" spans="1:6" s="187" customFormat="1" ht="19.5" customHeight="1" thickBot="1">
      <c r="A12" s="342"/>
      <c r="B12" s="343" t="s">
        <v>354</v>
      </c>
      <c r="C12" s="190"/>
      <c r="D12" s="190"/>
      <c r="E12" s="320">
        <f>E13-E23</f>
        <v>2555574</v>
      </c>
      <c r="F12" s="320">
        <f>F13-F23</f>
        <v>3889463</v>
      </c>
    </row>
    <row r="13" spans="1:6" s="187" customFormat="1" ht="19.5" customHeight="1" thickBot="1">
      <c r="A13" s="344" t="s">
        <v>307</v>
      </c>
      <c r="B13" s="345" t="s">
        <v>332</v>
      </c>
      <c r="C13" s="191"/>
      <c r="D13" s="191"/>
      <c r="E13" s="321">
        <f>SUM(E14:E22)</f>
        <v>6033174</v>
      </c>
      <c r="F13" s="321">
        <f>SUM(F14:F22)</f>
        <v>8057323</v>
      </c>
    </row>
    <row r="14" spans="1:6" s="187" customFormat="1" ht="19.5" customHeight="1">
      <c r="A14" s="346" t="s">
        <v>303</v>
      </c>
      <c r="B14" s="347" t="s">
        <v>252</v>
      </c>
      <c r="C14" s="192" t="s">
        <v>342</v>
      </c>
      <c r="D14" s="359" t="s">
        <v>342</v>
      </c>
      <c r="E14" s="322">
        <f>-E10+E23-E22</f>
        <v>3618388</v>
      </c>
      <c r="F14" s="322">
        <f>-F10+F23-F22</f>
        <v>8057323</v>
      </c>
    </row>
    <row r="15" spans="1:6" s="187" customFormat="1" ht="19.5" customHeight="1">
      <c r="A15" s="348" t="s">
        <v>304</v>
      </c>
      <c r="B15" s="349" t="s">
        <v>347</v>
      </c>
      <c r="C15" s="193" t="s">
        <v>342</v>
      </c>
      <c r="D15" s="360" t="s">
        <v>342</v>
      </c>
      <c r="E15" s="323">
        <v>0</v>
      </c>
      <c r="F15" s="323">
        <v>0</v>
      </c>
    </row>
    <row r="16" spans="1:6" s="187" customFormat="1" ht="45">
      <c r="A16" s="337" t="s">
        <v>305</v>
      </c>
      <c r="B16" s="350" t="s">
        <v>253</v>
      </c>
      <c r="C16" s="194"/>
      <c r="D16" s="361" t="s">
        <v>254</v>
      </c>
      <c r="E16" s="323">
        <v>0</v>
      </c>
      <c r="F16" s="323">
        <v>0</v>
      </c>
    </row>
    <row r="17" spans="1:6" s="187" customFormat="1" ht="19.5" customHeight="1">
      <c r="A17" s="337" t="s">
        <v>294</v>
      </c>
      <c r="B17" s="351" t="s">
        <v>333</v>
      </c>
      <c r="C17" s="194" t="s">
        <v>343</v>
      </c>
      <c r="D17" s="361" t="s">
        <v>255</v>
      </c>
      <c r="E17" s="323">
        <v>0</v>
      </c>
      <c r="F17" s="323">
        <v>0</v>
      </c>
    </row>
    <row r="18" spans="1:6" s="187" customFormat="1" ht="19.5" customHeight="1">
      <c r="A18" s="337" t="s">
        <v>310</v>
      </c>
      <c r="B18" s="351" t="s">
        <v>334</v>
      </c>
      <c r="C18" s="194" t="s">
        <v>344</v>
      </c>
      <c r="D18" s="361" t="s">
        <v>256</v>
      </c>
      <c r="E18" s="323">
        <v>0</v>
      </c>
      <c r="F18" s="323">
        <v>0</v>
      </c>
    </row>
    <row r="19" spans="1:6" s="187" customFormat="1" ht="21.75" customHeight="1">
      <c r="A19" s="337" t="s">
        <v>314</v>
      </c>
      <c r="B19" s="351" t="s">
        <v>319</v>
      </c>
      <c r="C19" s="194" t="s">
        <v>345</v>
      </c>
      <c r="D19" s="361" t="s">
        <v>345</v>
      </c>
      <c r="E19" s="323">
        <v>0</v>
      </c>
      <c r="F19" s="323">
        <v>0</v>
      </c>
    </row>
    <row r="20" spans="1:6" s="187" customFormat="1" ht="19.5" customHeight="1">
      <c r="A20" s="337" t="s">
        <v>322</v>
      </c>
      <c r="B20" s="351" t="s">
        <v>257</v>
      </c>
      <c r="C20" s="194"/>
      <c r="D20" s="361" t="s">
        <v>258</v>
      </c>
      <c r="E20" s="323">
        <v>0</v>
      </c>
      <c r="F20" s="323">
        <v>0</v>
      </c>
    </row>
    <row r="21" spans="1:6" s="187" customFormat="1" ht="19.5" customHeight="1">
      <c r="A21" s="352" t="s">
        <v>331</v>
      </c>
      <c r="B21" s="353" t="s">
        <v>259</v>
      </c>
      <c r="C21" s="192"/>
      <c r="D21" s="360" t="s">
        <v>260</v>
      </c>
      <c r="E21" s="323">
        <v>0</v>
      </c>
      <c r="F21" s="323">
        <v>0</v>
      </c>
    </row>
    <row r="22" spans="1:6" s="187" customFormat="1" ht="19.5" customHeight="1" thickBot="1">
      <c r="A22" s="352" t="s">
        <v>388</v>
      </c>
      <c r="B22" s="353" t="s">
        <v>261</v>
      </c>
      <c r="C22" s="195" t="s">
        <v>343</v>
      </c>
      <c r="D22" s="360" t="s">
        <v>343</v>
      </c>
      <c r="E22" s="324">
        <v>2414786</v>
      </c>
      <c r="F22" s="324">
        <v>0</v>
      </c>
    </row>
    <row r="23" spans="1:6" s="187" customFormat="1" ht="19.5" customHeight="1" thickBot="1">
      <c r="A23" s="344" t="s">
        <v>325</v>
      </c>
      <c r="B23" s="354" t="s">
        <v>335</v>
      </c>
      <c r="C23" s="196"/>
      <c r="D23" s="344"/>
      <c r="E23" s="321">
        <f>SUM(E24:E31)</f>
        <v>3477600</v>
      </c>
      <c r="F23" s="321">
        <f>SUM(F24:F31)</f>
        <v>4167860</v>
      </c>
    </row>
    <row r="24" spans="1:6" s="187" customFormat="1" ht="19.5" customHeight="1">
      <c r="A24" s="346" t="s">
        <v>303</v>
      </c>
      <c r="B24" s="355" t="s">
        <v>321</v>
      </c>
      <c r="C24" s="197" t="s">
        <v>337</v>
      </c>
      <c r="D24" s="362" t="s">
        <v>337</v>
      </c>
      <c r="E24" s="325">
        <f>1781600-304000</f>
        <v>1477600</v>
      </c>
      <c r="F24" s="325">
        <f>4100000+67860</f>
        <v>4167860</v>
      </c>
    </row>
    <row r="25" spans="1:6" s="187" customFormat="1" ht="19.5" customHeight="1">
      <c r="A25" s="337" t="s">
        <v>304</v>
      </c>
      <c r="B25" s="338" t="s">
        <v>341</v>
      </c>
      <c r="C25" s="198"/>
      <c r="D25" s="361" t="s">
        <v>337</v>
      </c>
      <c r="E25" s="326"/>
      <c r="F25" s="326"/>
    </row>
    <row r="26" spans="1:6" s="187" customFormat="1" ht="45">
      <c r="A26" s="337" t="s">
        <v>305</v>
      </c>
      <c r="B26" s="356" t="s">
        <v>262</v>
      </c>
      <c r="C26" s="198"/>
      <c r="D26" s="361" t="s">
        <v>263</v>
      </c>
      <c r="E26" s="326"/>
      <c r="F26" s="326"/>
    </row>
    <row r="27" spans="1:6" s="187" customFormat="1" ht="19.5" customHeight="1">
      <c r="A27" s="337" t="s">
        <v>294</v>
      </c>
      <c r="B27" s="338" t="s">
        <v>264</v>
      </c>
      <c r="C27" s="198" t="s">
        <v>360</v>
      </c>
      <c r="D27" s="361" t="s">
        <v>360</v>
      </c>
      <c r="E27" s="326">
        <v>0</v>
      </c>
      <c r="F27" s="326">
        <v>0</v>
      </c>
    </row>
    <row r="28" spans="1:6" s="187" customFormat="1" ht="19.5" customHeight="1">
      <c r="A28" s="337" t="s">
        <v>310</v>
      </c>
      <c r="B28" s="338" t="s">
        <v>265</v>
      </c>
      <c r="C28" s="198" t="s">
        <v>339</v>
      </c>
      <c r="D28" s="361" t="s">
        <v>339</v>
      </c>
      <c r="E28" s="326">
        <v>0</v>
      </c>
      <c r="F28" s="326">
        <v>0</v>
      </c>
    </row>
    <row r="29" spans="1:6" s="187" customFormat="1" ht="17.25" customHeight="1">
      <c r="A29" s="337" t="s">
        <v>314</v>
      </c>
      <c r="B29" s="338" t="s">
        <v>320</v>
      </c>
      <c r="C29" s="198" t="s">
        <v>340</v>
      </c>
      <c r="D29" s="361" t="s">
        <v>340</v>
      </c>
      <c r="E29" s="326">
        <v>2000000</v>
      </c>
      <c r="F29" s="326">
        <v>0</v>
      </c>
    </row>
    <row r="30" spans="1:6" s="187" customFormat="1" ht="17.25" customHeight="1">
      <c r="A30" s="337" t="s">
        <v>322</v>
      </c>
      <c r="B30" s="338" t="s">
        <v>285</v>
      </c>
      <c r="C30" s="198"/>
      <c r="D30" s="361" t="s">
        <v>266</v>
      </c>
      <c r="E30" s="326"/>
      <c r="F30" s="326"/>
    </row>
    <row r="31" spans="1:6" s="187" customFormat="1" ht="17.25" customHeight="1" thickBot="1">
      <c r="A31" s="357" t="s">
        <v>331</v>
      </c>
      <c r="B31" s="358" t="s">
        <v>336</v>
      </c>
      <c r="C31" s="198" t="s">
        <v>338</v>
      </c>
      <c r="D31" s="363" t="s">
        <v>338</v>
      </c>
      <c r="E31" s="327">
        <v>0</v>
      </c>
      <c r="F31" s="327">
        <v>0</v>
      </c>
    </row>
    <row r="32" spans="1:6" ht="19.5" customHeight="1">
      <c r="A32" s="4"/>
      <c r="B32" s="5"/>
      <c r="C32" s="5"/>
      <c r="D32" s="5"/>
      <c r="E32" s="49"/>
      <c r="F32" s="49"/>
    </row>
    <row r="33" spans="1:6" ht="30" hidden="1">
      <c r="A33" s="16" t="s">
        <v>348</v>
      </c>
      <c r="B33" s="19" t="s">
        <v>361</v>
      </c>
      <c r="C33" s="17"/>
      <c r="D33" s="17"/>
      <c r="E33" s="52">
        <f>E23</f>
        <v>3477600</v>
      </c>
      <c r="F33" s="55">
        <f>F23</f>
        <v>4167860</v>
      </c>
    </row>
    <row r="34" spans="1:6" ht="30" hidden="1">
      <c r="A34" s="9" t="s">
        <v>349</v>
      </c>
      <c r="B34" s="18" t="s">
        <v>355</v>
      </c>
      <c r="C34" s="13"/>
      <c r="D34" s="13"/>
      <c r="E34" s="53">
        <f>E7-E33</f>
        <v>59564525</v>
      </c>
      <c r="F34" s="56">
        <f>F7-F33</f>
        <v>75493774</v>
      </c>
    </row>
    <row r="35" spans="1:6" ht="30" hidden="1">
      <c r="A35" s="9" t="s">
        <v>350</v>
      </c>
      <c r="B35" s="18" t="s">
        <v>351</v>
      </c>
      <c r="C35" s="13"/>
      <c r="D35" s="13"/>
      <c r="E35" s="53">
        <f>E8-E34</f>
        <v>6033174</v>
      </c>
      <c r="F35" s="56">
        <f>F8-F34</f>
        <v>8057323</v>
      </c>
    </row>
    <row r="36" spans="1:6" ht="45.75" hidden="1" thickBot="1">
      <c r="A36" s="10" t="s">
        <v>352</v>
      </c>
      <c r="B36" s="14" t="s">
        <v>353</v>
      </c>
      <c r="C36" s="15"/>
      <c r="D36" s="15"/>
      <c r="E36" s="54">
        <f>SUM(E13)</f>
        <v>6033174</v>
      </c>
      <c r="F36" s="57">
        <f>SUM(F13)</f>
        <v>8057323</v>
      </c>
    </row>
    <row r="37" spans="1:6" ht="12.75">
      <c r="A37" s="3"/>
      <c r="E37" s="50"/>
      <c r="F37" s="50"/>
    </row>
    <row r="38" spans="1:6" ht="12.75">
      <c r="A38" s="3"/>
      <c r="E38" s="50"/>
      <c r="F38" s="50"/>
    </row>
    <row r="39" spans="5:6" s="12" customFormat="1" ht="15">
      <c r="E39" s="51"/>
      <c r="F39" s="51"/>
    </row>
    <row r="40" spans="1:6" ht="12.75">
      <c r="A40" s="3"/>
      <c r="E40" s="50"/>
      <c r="F40" s="50"/>
    </row>
    <row r="41" spans="1:6" ht="12.75">
      <c r="A41" s="3"/>
      <c r="E41" s="50"/>
      <c r="F41" s="50"/>
    </row>
    <row r="42" spans="1:6" ht="12.75">
      <c r="A42" s="3"/>
      <c r="E42" s="50"/>
      <c r="F42" s="50"/>
    </row>
    <row r="43" spans="1:6" ht="12.75">
      <c r="A43" s="3"/>
      <c r="E43" s="50"/>
      <c r="F43" s="50"/>
    </row>
    <row r="44" spans="1:6" ht="12.75">
      <c r="A44" s="3"/>
      <c r="E44" s="50"/>
      <c r="F44" s="50"/>
    </row>
    <row r="45" spans="1:6" ht="12.75">
      <c r="A45" s="3"/>
      <c r="E45" s="50"/>
      <c r="F45" s="50"/>
    </row>
    <row r="46" spans="1:6" ht="12.75">
      <c r="A46" s="3"/>
      <c r="E46" s="50"/>
      <c r="F46" s="50"/>
    </row>
    <row r="47" spans="1:6" ht="12.75">
      <c r="A47" s="3"/>
      <c r="E47" s="50"/>
      <c r="F47" s="50"/>
    </row>
    <row r="48" spans="5:6" ht="12.75">
      <c r="E48" s="50"/>
      <c r="F48" s="50"/>
    </row>
    <row r="49" spans="5:6" ht="12.75">
      <c r="E49" s="50"/>
      <c r="F49" s="50"/>
    </row>
    <row r="50" spans="5:6" ht="12.75">
      <c r="E50" s="50"/>
      <c r="F50" s="50"/>
    </row>
    <row r="51" spans="5:6" ht="12.75">
      <c r="E51" s="50"/>
      <c r="F51" s="50"/>
    </row>
    <row r="52" spans="5:6" ht="12.75">
      <c r="E52" s="50"/>
      <c r="F52" s="50"/>
    </row>
    <row r="53" spans="5:6" ht="12.75">
      <c r="E53" s="50"/>
      <c r="F53" s="50"/>
    </row>
    <row r="54" spans="5:6" ht="12.75">
      <c r="E54" s="50"/>
      <c r="F54" s="50"/>
    </row>
    <row r="55" spans="5:6" ht="12.75">
      <c r="E55" s="50"/>
      <c r="F55" s="50"/>
    </row>
    <row r="56" spans="5:6" ht="12.75">
      <c r="E56" s="50"/>
      <c r="F56" s="50"/>
    </row>
    <row r="57" spans="5:6" ht="12.75">
      <c r="E57" s="50"/>
      <c r="F57" s="50"/>
    </row>
    <row r="58" spans="5:6" ht="12.75">
      <c r="E58" s="50"/>
      <c r="F58" s="50"/>
    </row>
    <row r="59" spans="5:6" ht="12.75">
      <c r="E59" s="50"/>
      <c r="F59" s="50"/>
    </row>
    <row r="60" spans="5:6" ht="12.75">
      <c r="E60" s="50"/>
      <c r="F60" s="50"/>
    </row>
    <row r="61" spans="5:6" ht="12.75">
      <c r="E61" s="50"/>
      <c r="F61" s="50"/>
    </row>
    <row r="62" spans="5:6" ht="12.75">
      <c r="E62" s="50"/>
      <c r="F62" s="50"/>
    </row>
    <row r="63" spans="5:6" ht="12.75">
      <c r="E63" s="50"/>
      <c r="F63" s="50"/>
    </row>
    <row r="64" spans="5:6" ht="12.75">
      <c r="E64" s="50"/>
      <c r="F64" s="50"/>
    </row>
    <row r="65" spans="5:6" ht="12.75">
      <c r="E65" s="50"/>
      <c r="F65" s="50"/>
    </row>
    <row r="66" spans="5:6" ht="12.75">
      <c r="E66" s="50"/>
      <c r="F66" s="50"/>
    </row>
    <row r="67" spans="5:6" ht="12.75">
      <c r="E67" s="50"/>
      <c r="F67" s="50"/>
    </row>
    <row r="68" spans="5:6" ht="12.75">
      <c r="E68" s="50"/>
      <c r="F68" s="50"/>
    </row>
    <row r="69" spans="5:6" ht="12.75">
      <c r="E69" s="50"/>
      <c r="F69" s="50"/>
    </row>
    <row r="70" spans="5:6" ht="12.75">
      <c r="E70" s="50"/>
      <c r="F70" s="50"/>
    </row>
    <row r="71" spans="5:6" ht="12.75">
      <c r="E71" s="50"/>
      <c r="F71" s="50"/>
    </row>
    <row r="72" spans="5:6" ht="12.75">
      <c r="E72" s="50"/>
      <c r="F72" s="50"/>
    </row>
    <row r="73" spans="5:6" ht="12.75">
      <c r="E73" s="50"/>
      <c r="F73" s="50"/>
    </row>
    <row r="74" spans="5:6" ht="12.75">
      <c r="E74" s="50"/>
      <c r="F74" s="50"/>
    </row>
    <row r="75" spans="5:6" ht="12.75">
      <c r="E75" s="50"/>
      <c r="F75" s="50"/>
    </row>
    <row r="76" spans="5:6" ht="12.75">
      <c r="E76" s="50"/>
      <c r="F76" s="50"/>
    </row>
    <row r="77" spans="5:6" ht="12.75">
      <c r="E77" s="50"/>
      <c r="F77" s="50"/>
    </row>
    <row r="78" spans="5:6" ht="12.75">
      <c r="E78" s="50"/>
      <c r="F78" s="50"/>
    </row>
    <row r="79" spans="5:6" ht="12.75">
      <c r="E79" s="50"/>
      <c r="F79" s="50"/>
    </row>
    <row r="80" spans="5:6" ht="12.75">
      <c r="E80" s="50"/>
      <c r="F80" s="50"/>
    </row>
    <row r="81" spans="5:6" ht="12.75">
      <c r="E81" s="50"/>
      <c r="F81" s="50"/>
    </row>
    <row r="82" spans="5:6" ht="12.75">
      <c r="E82" s="50"/>
      <c r="F82" s="50"/>
    </row>
  </sheetData>
  <mergeCells count="2">
    <mergeCell ref="E4:F4"/>
    <mergeCell ref="A1:F2"/>
  </mergeCells>
  <printOptions horizontalCentered="1" verticalCentered="1"/>
  <pageMargins left="0.68" right="0.27" top="0.43" bottom="0.5905511811023623" header="0.57" footer="0.5118110236220472"/>
  <pageSetup horizontalDpi="600" verticalDpi="600" orientation="portrait" paperSize="9" r:id="rId1"/>
  <headerFooter alignWithMargins="0">
    <oddHeader>&amp;RZałącznik nr 5
do uchwały Rady Powiatu Nr   XXIII/159/08
z dnia  30 grudnia 2008 roku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6"/>
  <dimension ref="A1:K512"/>
  <sheetViews>
    <sheetView zoomScale="85" zoomScaleNormal="85" workbookViewId="0" topLeftCell="A1">
      <selection activeCell="K2" sqref="K2"/>
    </sheetView>
  </sheetViews>
  <sheetFormatPr defaultColWidth="9.00390625" defaultRowHeight="12.75"/>
  <cols>
    <col min="1" max="1" width="4.625" style="58" customWidth="1"/>
    <col min="2" max="2" width="6.875" style="58" customWidth="1"/>
    <col min="3" max="3" width="30.25390625" style="59" customWidth="1"/>
    <col min="4" max="4" width="15.625" style="46" customWidth="1"/>
    <col min="5" max="5" width="13.25390625" style="61" customWidth="1"/>
    <col min="6" max="6" width="12.875" style="46" customWidth="1"/>
    <col min="7" max="7" width="13.875" style="59" customWidth="1"/>
    <col min="8" max="8" width="12.875" style="59" customWidth="1"/>
    <col min="9" max="9" width="11.00390625" style="59" customWidth="1"/>
    <col min="10" max="10" width="11.25390625" style="59" customWidth="1"/>
    <col min="11" max="11" width="13.375" style="61" customWidth="1"/>
    <col min="12" max="16384" width="9.125" style="59" customWidth="1"/>
  </cols>
  <sheetData>
    <row r="1" spans="1:11" s="171" customFormat="1" ht="12.75">
      <c r="A1" s="199"/>
      <c r="B1" s="199"/>
      <c r="D1" s="200"/>
      <c r="F1" s="46"/>
      <c r="J1" s="59"/>
      <c r="K1" s="48" t="s">
        <v>685</v>
      </c>
    </row>
    <row r="2" spans="1:11" s="171" customFormat="1" ht="12" customHeight="1">
      <c r="A2" s="199"/>
      <c r="B2" s="199"/>
      <c r="D2" s="200"/>
      <c r="E2" s="200"/>
      <c r="F2" s="46"/>
      <c r="J2" s="59"/>
      <c r="K2" s="60" t="s">
        <v>761</v>
      </c>
    </row>
    <row r="3" spans="1:11" s="171" customFormat="1" ht="13.5" customHeight="1">
      <c r="A3" s="199"/>
      <c r="B3" s="199"/>
      <c r="D3" s="200"/>
      <c r="E3" s="200"/>
      <c r="F3" s="46"/>
      <c r="J3" s="59"/>
      <c r="K3" s="60" t="s">
        <v>24</v>
      </c>
    </row>
    <row r="4" spans="1:11" s="171" customFormat="1" ht="3.75" customHeight="1">
      <c r="A4" s="199"/>
      <c r="B4" s="199"/>
      <c r="D4" s="201"/>
      <c r="E4" s="202"/>
      <c r="F4" s="63"/>
      <c r="J4" s="59"/>
      <c r="K4" s="61"/>
    </row>
    <row r="5" spans="1:11" s="203" customFormat="1" ht="15.75">
      <c r="A5" s="891" t="s">
        <v>582</v>
      </c>
      <c r="B5" s="891"/>
      <c r="C5" s="891"/>
      <c r="D5" s="891"/>
      <c r="E5" s="891"/>
      <c r="F5" s="891"/>
      <c r="G5" s="891"/>
      <c r="H5" s="891"/>
      <c r="I5" s="891"/>
      <c r="J5" s="891"/>
      <c r="K5" s="365"/>
    </row>
    <row r="6" spans="1:11" s="203" customFormat="1" ht="15.75">
      <c r="A6" s="891" t="s">
        <v>37</v>
      </c>
      <c r="B6" s="891"/>
      <c r="C6" s="891"/>
      <c r="D6" s="891"/>
      <c r="E6" s="891"/>
      <c r="F6" s="891"/>
      <c r="G6" s="891"/>
      <c r="H6" s="891"/>
      <c r="I6" s="891"/>
      <c r="J6" s="891"/>
      <c r="K6" s="365"/>
    </row>
    <row r="7" spans="1:11" s="171" customFormat="1" ht="3.75" customHeight="1">
      <c r="A7" s="199"/>
      <c r="B7" s="204"/>
      <c r="C7" s="205"/>
      <c r="D7" s="201"/>
      <c r="E7" s="202"/>
      <c r="F7" s="46"/>
      <c r="J7" s="59"/>
      <c r="K7" s="61"/>
    </row>
    <row r="8" spans="1:11" s="206" customFormat="1" ht="9.75" customHeight="1">
      <c r="A8" s="804" t="s">
        <v>295</v>
      </c>
      <c r="B8" s="804" t="s">
        <v>296</v>
      </c>
      <c r="C8" s="893" t="s">
        <v>203</v>
      </c>
      <c r="D8" s="886" t="s">
        <v>686</v>
      </c>
      <c r="E8" s="886" t="s">
        <v>163</v>
      </c>
      <c r="F8" s="826" t="s">
        <v>655</v>
      </c>
      <c r="G8" s="826"/>
      <c r="H8" s="826"/>
      <c r="I8" s="826"/>
      <c r="J8" s="826"/>
      <c r="K8" s="886" t="s">
        <v>743</v>
      </c>
    </row>
    <row r="9" spans="1:11" s="206" customFormat="1" ht="9.75" customHeight="1">
      <c r="A9" s="892"/>
      <c r="B9" s="892"/>
      <c r="C9" s="894"/>
      <c r="D9" s="887"/>
      <c r="E9" s="887"/>
      <c r="F9" s="826" t="s">
        <v>197</v>
      </c>
      <c r="G9" s="826" t="s">
        <v>652</v>
      </c>
      <c r="H9" s="826"/>
      <c r="I9" s="826"/>
      <c r="J9" s="826" t="s">
        <v>281</v>
      </c>
      <c r="K9" s="887"/>
    </row>
    <row r="10" spans="1:11" s="206" customFormat="1" ht="27" customHeight="1">
      <c r="A10" s="805"/>
      <c r="B10" s="805"/>
      <c r="C10" s="895"/>
      <c r="D10" s="888"/>
      <c r="E10" s="888"/>
      <c r="F10" s="826"/>
      <c r="G10" s="149" t="s">
        <v>689</v>
      </c>
      <c r="H10" s="149" t="s">
        <v>688</v>
      </c>
      <c r="I10" s="149" t="s">
        <v>687</v>
      </c>
      <c r="J10" s="826"/>
      <c r="K10" s="888"/>
    </row>
    <row r="11" spans="1:11" s="207" customFormat="1" ht="11.25">
      <c r="A11" s="236">
        <v>1</v>
      </c>
      <c r="B11" s="236">
        <v>2</v>
      </c>
      <c r="C11" s="368">
        <v>3</v>
      </c>
      <c r="D11" s="368">
        <v>4</v>
      </c>
      <c r="E11" s="375">
        <v>5</v>
      </c>
      <c r="F11" s="375">
        <v>6</v>
      </c>
      <c r="G11" s="379">
        <v>7</v>
      </c>
      <c r="H11" s="379">
        <v>8</v>
      </c>
      <c r="I11" s="379">
        <v>9</v>
      </c>
      <c r="J11" s="379">
        <v>10</v>
      </c>
      <c r="K11" s="366">
        <v>11</v>
      </c>
    </row>
    <row r="12" spans="1:11" s="208" customFormat="1" ht="12.75">
      <c r="A12" s="369" t="s">
        <v>393</v>
      </c>
      <c r="B12" s="370"/>
      <c r="C12" s="35" t="s">
        <v>394</v>
      </c>
      <c r="D12" s="367">
        <f aca="true" t="shared" si="0" ref="D12:J12">D13</f>
        <v>10000</v>
      </c>
      <c r="E12" s="367">
        <f t="shared" si="0"/>
        <v>10000</v>
      </c>
      <c r="F12" s="367">
        <f t="shared" si="0"/>
        <v>10000</v>
      </c>
      <c r="G12" s="367">
        <f t="shared" si="0"/>
        <v>0</v>
      </c>
      <c r="H12" s="367">
        <f t="shared" si="0"/>
        <v>0</v>
      </c>
      <c r="I12" s="367">
        <f t="shared" si="0"/>
        <v>0</v>
      </c>
      <c r="J12" s="367">
        <f t="shared" si="0"/>
        <v>0</v>
      </c>
      <c r="K12" s="367">
        <f>SUM(K14)</f>
        <v>4000</v>
      </c>
    </row>
    <row r="13" spans="1:11" s="208" customFormat="1" ht="24">
      <c r="A13" s="369"/>
      <c r="B13" s="371" t="s">
        <v>395</v>
      </c>
      <c r="C13" s="372" t="s">
        <v>396</v>
      </c>
      <c r="D13" s="551">
        <v>10000</v>
      </c>
      <c r="E13" s="376">
        <v>10000</v>
      </c>
      <c r="F13" s="376">
        <v>10000</v>
      </c>
      <c r="G13" s="378">
        <v>0</v>
      </c>
      <c r="H13" s="378">
        <v>0</v>
      </c>
      <c r="I13" s="377">
        <v>0</v>
      </c>
      <c r="J13" s="377">
        <v>0</v>
      </c>
      <c r="K13" s="377">
        <v>0</v>
      </c>
    </row>
    <row r="14" spans="1:11" s="208" customFormat="1" ht="12.75">
      <c r="A14" s="373"/>
      <c r="B14" s="371" t="s">
        <v>744</v>
      </c>
      <c r="C14" s="372" t="s">
        <v>745</v>
      </c>
      <c r="D14" s="551">
        <v>0</v>
      </c>
      <c r="E14" s="376">
        <v>0</v>
      </c>
      <c r="F14" s="376">
        <v>0</v>
      </c>
      <c r="G14" s="378">
        <v>0</v>
      </c>
      <c r="H14" s="378">
        <v>0</v>
      </c>
      <c r="I14" s="377">
        <v>0</v>
      </c>
      <c r="J14" s="377">
        <v>0</v>
      </c>
      <c r="K14" s="377">
        <v>4000</v>
      </c>
    </row>
    <row r="15" spans="1:11" s="208" customFormat="1" ht="12.75">
      <c r="A15" s="373" t="s">
        <v>411</v>
      </c>
      <c r="B15" s="370"/>
      <c r="C15" s="35" t="s">
        <v>412</v>
      </c>
      <c r="D15" s="367">
        <f aca="true" t="shared" si="1" ref="D15:K15">SUM(D16)</f>
        <v>19000</v>
      </c>
      <c r="E15" s="235">
        <f t="shared" si="1"/>
        <v>19000</v>
      </c>
      <c r="F15" s="235">
        <f t="shared" si="1"/>
        <v>19000</v>
      </c>
      <c r="G15" s="235">
        <f t="shared" si="1"/>
        <v>0</v>
      </c>
      <c r="H15" s="235">
        <f t="shared" si="1"/>
        <v>0</v>
      </c>
      <c r="I15" s="235">
        <f t="shared" si="1"/>
        <v>0</v>
      </c>
      <c r="J15" s="235">
        <f t="shared" si="1"/>
        <v>0</v>
      </c>
      <c r="K15" s="235">
        <f t="shared" si="1"/>
        <v>890000</v>
      </c>
    </row>
    <row r="16" spans="1:11" s="208" customFormat="1" ht="24">
      <c r="A16" s="370"/>
      <c r="B16" s="370" t="s">
        <v>413</v>
      </c>
      <c r="C16" s="372" t="s">
        <v>414</v>
      </c>
      <c r="D16" s="551">
        <v>19000</v>
      </c>
      <c r="E16" s="376">
        <f>SUM(F16)</f>
        <v>19000</v>
      </c>
      <c r="F16" s="376">
        <v>19000</v>
      </c>
      <c r="G16" s="377">
        <v>0</v>
      </c>
      <c r="H16" s="377">
        <v>0</v>
      </c>
      <c r="I16" s="377">
        <v>0</v>
      </c>
      <c r="J16" s="377">
        <v>0</v>
      </c>
      <c r="K16" s="377">
        <v>890000</v>
      </c>
    </row>
    <row r="17" spans="1:11" s="208" customFormat="1" ht="12.75">
      <c r="A17" s="369" t="s">
        <v>419</v>
      </c>
      <c r="B17" s="370"/>
      <c r="C17" s="35" t="s">
        <v>420</v>
      </c>
      <c r="D17" s="367">
        <f aca="true" t="shared" si="2" ref="D17:K17">SUM(D18,D19,D20)</f>
        <v>337543</v>
      </c>
      <c r="E17" s="367">
        <f t="shared" si="2"/>
        <v>337543</v>
      </c>
      <c r="F17" s="367">
        <f t="shared" si="2"/>
        <v>337543</v>
      </c>
      <c r="G17" s="367">
        <f t="shared" si="2"/>
        <v>208748</v>
      </c>
      <c r="H17" s="367">
        <f t="shared" si="2"/>
        <v>37418</v>
      </c>
      <c r="I17" s="367">
        <f t="shared" si="2"/>
        <v>0</v>
      </c>
      <c r="J17" s="367">
        <f t="shared" si="2"/>
        <v>0</v>
      </c>
      <c r="K17" s="367">
        <f t="shared" si="2"/>
        <v>0</v>
      </c>
    </row>
    <row r="18" spans="1:11" s="208" customFormat="1" ht="14.25" customHeight="1">
      <c r="A18" s="369"/>
      <c r="B18" s="371" t="s">
        <v>421</v>
      </c>
      <c r="C18" s="372" t="s">
        <v>422</v>
      </c>
      <c r="D18" s="551">
        <v>35000</v>
      </c>
      <c r="E18" s="376">
        <v>35000</v>
      </c>
      <c r="F18" s="377">
        <v>35000</v>
      </c>
      <c r="G18" s="387">
        <v>0</v>
      </c>
      <c r="H18" s="387">
        <v>0</v>
      </c>
      <c r="I18" s="377">
        <v>0</v>
      </c>
      <c r="J18" s="377">
        <v>0</v>
      </c>
      <c r="K18" s="377">
        <v>0</v>
      </c>
    </row>
    <row r="19" spans="1:11" s="208" customFormat="1" ht="24">
      <c r="A19" s="374"/>
      <c r="B19" s="371" t="s">
        <v>423</v>
      </c>
      <c r="C19" s="372" t="s">
        <v>424</v>
      </c>
      <c r="D19" s="376">
        <v>10000</v>
      </c>
      <c r="E19" s="376">
        <v>10000</v>
      </c>
      <c r="F19" s="377">
        <v>10000</v>
      </c>
      <c r="G19" s="387">
        <v>0</v>
      </c>
      <c r="H19" s="387">
        <v>0</v>
      </c>
      <c r="I19" s="377">
        <v>0</v>
      </c>
      <c r="J19" s="377">
        <v>0</v>
      </c>
      <c r="K19" s="377">
        <v>0</v>
      </c>
    </row>
    <row r="20" spans="1:11" s="208" customFormat="1" ht="12.75">
      <c r="A20" s="134"/>
      <c r="B20" s="129" t="s">
        <v>425</v>
      </c>
      <c r="C20" s="47" t="s">
        <v>426</v>
      </c>
      <c r="D20" s="376">
        <v>292543</v>
      </c>
      <c r="E20" s="376">
        <v>292543</v>
      </c>
      <c r="F20" s="378">
        <v>292543</v>
      </c>
      <c r="G20" s="378">
        <v>208748</v>
      </c>
      <c r="H20" s="378">
        <v>37418</v>
      </c>
      <c r="I20" s="377">
        <v>0</v>
      </c>
      <c r="J20" s="377">
        <v>0</v>
      </c>
      <c r="K20" s="377">
        <v>0</v>
      </c>
    </row>
    <row r="21" spans="1:11" s="208" customFormat="1" ht="12.75">
      <c r="A21" s="127" t="s">
        <v>428</v>
      </c>
      <c r="B21" s="105"/>
      <c r="C21" s="100" t="s">
        <v>429</v>
      </c>
      <c r="D21" s="367">
        <f aca="true" t="shared" si="3" ref="D21:K21">SUM(D22,D23)</f>
        <v>242436</v>
      </c>
      <c r="E21" s="367">
        <f t="shared" si="3"/>
        <v>242436</v>
      </c>
      <c r="F21" s="367">
        <f t="shared" si="3"/>
        <v>242436</v>
      </c>
      <c r="G21" s="367">
        <f t="shared" si="3"/>
        <v>225986</v>
      </c>
      <c r="H21" s="367">
        <f t="shared" si="3"/>
        <v>1860</v>
      </c>
      <c r="I21" s="367">
        <f t="shared" si="3"/>
        <v>0</v>
      </c>
      <c r="J21" s="367">
        <f t="shared" si="3"/>
        <v>0</v>
      </c>
      <c r="K21" s="367">
        <f t="shared" si="3"/>
        <v>0</v>
      </c>
    </row>
    <row r="22" spans="1:11" s="208" customFormat="1" ht="12.75">
      <c r="A22" s="128"/>
      <c r="B22" s="129" t="s">
        <v>430</v>
      </c>
      <c r="C22" s="47" t="s">
        <v>431</v>
      </c>
      <c r="D22" s="376">
        <v>213436</v>
      </c>
      <c r="E22" s="376">
        <v>213436</v>
      </c>
      <c r="F22" s="378">
        <v>213436</v>
      </c>
      <c r="G22" s="378">
        <v>213436</v>
      </c>
      <c r="H22" s="378">
        <v>0</v>
      </c>
      <c r="I22" s="377">
        <v>0</v>
      </c>
      <c r="J22" s="377">
        <v>0</v>
      </c>
      <c r="K22" s="377">
        <v>0</v>
      </c>
    </row>
    <row r="23" spans="1:11" s="208" customFormat="1" ht="12.75">
      <c r="A23" s="134"/>
      <c r="B23" s="129" t="s">
        <v>444</v>
      </c>
      <c r="C23" s="47" t="s">
        <v>445</v>
      </c>
      <c r="D23" s="376">
        <v>29000</v>
      </c>
      <c r="E23" s="376">
        <v>29000</v>
      </c>
      <c r="F23" s="377">
        <v>29000</v>
      </c>
      <c r="G23" s="377">
        <v>12550</v>
      </c>
      <c r="H23" s="377">
        <v>1860</v>
      </c>
      <c r="I23" s="377">
        <v>0</v>
      </c>
      <c r="J23" s="377">
        <v>0</v>
      </c>
      <c r="K23" s="377">
        <v>0</v>
      </c>
    </row>
    <row r="24" spans="1:11" s="208" customFormat="1" ht="29.25" customHeight="1">
      <c r="A24" s="127" t="s">
        <v>446</v>
      </c>
      <c r="B24" s="105"/>
      <c r="C24" s="100" t="s">
        <v>447</v>
      </c>
      <c r="D24" s="367">
        <f>SUM(D25)</f>
        <v>3579000</v>
      </c>
      <c r="E24" s="367">
        <f aca="true" t="shared" si="4" ref="E24:J24">SUM(E25)</f>
        <v>3579000</v>
      </c>
      <c r="F24" s="367">
        <f t="shared" si="4"/>
        <v>3179000</v>
      </c>
      <c r="G24" s="367">
        <f t="shared" si="4"/>
        <v>2546000</v>
      </c>
      <c r="H24" s="367">
        <f t="shared" si="4"/>
        <v>10000</v>
      </c>
      <c r="I24" s="367">
        <f t="shared" si="4"/>
        <v>0</v>
      </c>
      <c r="J24" s="367">
        <f t="shared" si="4"/>
        <v>400000</v>
      </c>
      <c r="K24" s="367">
        <f>K25</f>
        <v>4000</v>
      </c>
    </row>
    <row r="25" spans="1:11" s="208" customFormat="1" ht="24">
      <c r="A25" s="128"/>
      <c r="B25" s="129" t="s">
        <v>448</v>
      </c>
      <c r="C25" s="47" t="s">
        <v>449</v>
      </c>
      <c r="D25" s="376">
        <v>3579000</v>
      </c>
      <c r="E25" s="376">
        <f>SUM(F25,J25)</f>
        <v>3579000</v>
      </c>
      <c r="F25" s="377">
        <v>3179000</v>
      </c>
      <c r="G25" s="377">
        <v>2546000</v>
      </c>
      <c r="H25" s="377">
        <v>10000</v>
      </c>
      <c r="I25" s="377">
        <v>0</v>
      </c>
      <c r="J25" s="377">
        <v>400000</v>
      </c>
      <c r="K25" s="377">
        <v>4000</v>
      </c>
    </row>
    <row r="26" spans="1:11" s="208" customFormat="1" ht="14.25" customHeight="1">
      <c r="A26" s="105" t="s">
        <v>483</v>
      </c>
      <c r="B26" s="105"/>
      <c r="C26" s="100" t="s">
        <v>484</v>
      </c>
      <c r="D26" s="367">
        <f aca="true" t="shared" si="5" ref="D26:K26">D27</f>
        <v>1127000</v>
      </c>
      <c r="E26" s="367">
        <f t="shared" si="5"/>
        <v>1127000</v>
      </c>
      <c r="F26" s="367">
        <f t="shared" si="5"/>
        <v>1127000</v>
      </c>
      <c r="G26" s="367">
        <f t="shared" si="5"/>
        <v>0</v>
      </c>
      <c r="H26" s="367">
        <f t="shared" si="5"/>
        <v>0</v>
      </c>
      <c r="I26" s="367">
        <f t="shared" si="5"/>
        <v>0</v>
      </c>
      <c r="J26" s="367">
        <f t="shared" si="5"/>
        <v>0</v>
      </c>
      <c r="K26" s="367">
        <f t="shared" si="5"/>
        <v>0</v>
      </c>
    </row>
    <row r="27" spans="1:11" s="208" customFormat="1" ht="48">
      <c r="A27" s="105"/>
      <c r="B27" s="105" t="s">
        <v>487</v>
      </c>
      <c r="C27" s="47" t="s">
        <v>488</v>
      </c>
      <c r="D27" s="376">
        <v>1127000</v>
      </c>
      <c r="E27" s="376">
        <v>1127000</v>
      </c>
      <c r="F27" s="377">
        <v>1127000</v>
      </c>
      <c r="G27" s="387">
        <v>0</v>
      </c>
      <c r="H27" s="387">
        <v>0</v>
      </c>
      <c r="I27" s="377">
        <v>0</v>
      </c>
      <c r="J27" s="377">
        <v>0</v>
      </c>
      <c r="K27" s="377">
        <v>0</v>
      </c>
    </row>
    <row r="28" spans="1:11" s="208" customFormat="1" ht="18.75" customHeight="1">
      <c r="A28" s="105">
        <v>852</v>
      </c>
      <c r="B28" s="105"/>
      <c r="C28" s="100" t="s">
        <v>583</v>
      </c>
      <c r="D28" s="367">
        <f aca="true" t="shared" si="6" ref="D28:K28">SUM(D29)</f>
        <v>482000</v>
      </c>
      <c r="E28" s="367">
        <f t="shared" si="6"/>
        <v>482000</v>
      </c>
      <c r="F28" s="367">
        <f t="shared" si="6"/>
        <v>482000</v>
      </c>
      <c r="G28" s="367">
        <f t="shared" si="6"/>
        <v>235485</v>
      </c>
      <c r="H28" s="367">
        <f t="shared" si="6"/>
        <v>41160</v>
      </c>
      <c r="I28" s="367">
        <f t="shared" si="6"/>
        <v>0</v>
      </c>
      <c r="J28" s="367">
        <f t="shared" si="6"/>
        <v>0</v>
      </c>
      <c r="K28" s="367">
        <f t="shared" si="6"/>
        <v>0</v>
      </c>
    </row>
    <row r="29" spans="1:11" s="208" customFormat="1" ht="14.25" customHeight="1">
      <c r="A29" s="105"/>
      <c r="B29" s="105" t="s">
        <v>495</v>
      </c>
      <c r="C29" s="47" t="s">
        <v>496</v>
      </c>
      <c r="D29" s="376">
        <v>482000</v>
      </c>
      <c r="E29" s="376">
        <v>482000</v>
      </c>
      <c r="F29" s="376">
        <v>482000</v>
      </c>
      <c r="G29" s="378">
        <v>235485</v>
      </c>
      <c r="H29" s="378">
        <v>41160</v>
      </c>
      <c r="I29" s="377">
        <v>0</v>
      </c>
      <c r="J29" s="377">
        <v>0</v>
      </c>
      <c r="K29" s="377">
        <v>0</v>
      </c>
    </row>
    <row r="30" spans="1:11" s="208" customFormat="1" ht="12.75">
      <c r="A30" s="889" t="s">
        <v>584</v>
      </c>
      <c r="B30" s="890"/>
      <c r="C30" s="890"/>
      <c r="D30" s="235">
        <f aca="true" t="shared" si="7" ref="D30:K30">D12+D15+D17+D21+D24+D26+D28</f>
        <v>5796979</v>
      </c>
      <c r="E30" s="235">
        <f t="shared" si="7"/>
        <v>5796979</v>
      </c>
      <c r="F30" s="235">
        <f t="shared" si="7"/>
        <v>5396979</v>
      </c>
      <c r="G30" s="235">
        <f t="shared" si="7"/>
        <v>3216219</v>
      </c>
      <c r="H30" s="235">
        <f t="shared" si="7"/>
        <v>90438</v>
      </c>
      <c r="I30" s="235">
        <f t="shared" si="7"/>
        <v>0</v>
      </c>
      <c r="J30" s="235">
        <f t="shared" si="7"/>
        <v>400000</v>
      </c>
      <c r="K30" s="235">
        <f t="shared" si="7"/>
        <v>898000</v>
      </c>
    </row>
    <row r="31" spans="5:6" ht="12.75">
      <c r="E31" s="62"/>
      <c r="F31" s="59"/>
    </row>
    <row r="32" spans="5:6" ht="12.75">
      <c r="E32" s="62"/>
      <c r="F32" s="59"/>
    </row>
    <row r="33" spans="5:6" ht="12.75">
      <c r="E33" s="62"/>
      <c r="F33" s="59"/>
    </row>
    <row r="34" spans="5:6" ht="12.75">
      <c r="E34" s="62"/>
      <c r="F34" s="59"/>
    </row>
    <row r="35" spans="5:6" ht="12.75">
      <c r="E35" s="62"/>
      <c r="F35" s="59"/>
    </row>
    <row r="36" spans="5:6" ht="12.75">
      <c r="E36" s="62"/>
      <c r="F36" s="59"/>
    </row>
    <row r="37" spans="5:6" ht="12.75">
      <c r="E37" s="62"/>
      <c r="F37" s="59"/>
    </row>
    <row r="38" spans="5:6" ht="12.75">
      <c r="E38" s="62"/>
      <c r="F38" s="59"/>
    </row>
    <row r="39" spans="5:6" ht="12.75">
      <c r="E39" s="62"/>
      <c r="F39" s="59"/>
    </row>
    <row r="40" spans="5:6" ht="12.75">
      <c r="E40" s="62"/>
      <c r="F40" s="59"/>
    </row>
    <row r="41" spans="5:6" ht="12.75">
      <c r="E41" s="62"/>
      <c r="F41" s="59"/>
    </row>
    <row r="42" spans="5:6" ht="12.75">
      <c r="E42" s="62"/>
      <c r="F42" s="59"/>
    </row>
    <row r="43" spans="5:6" ht="12.75">
      <c r="E43" s="62"/>
      <c r="F43" s="59"/>
    </row>
    <row r="44" spans="5:6" ht="12.75">
      <c r="E44" s="62"/>
      <c r="F44" s="59"/>
    </row>
    <row r="45" spans="5:6" ht="12.75">
      <c r="E45" s="62"/>
      <c r="F45" s="59"/>
    </row>
    <row r="46" spans="5:6" ht="12.75">
      <c r="E46" s="62"/>
      <c r="F46" s="59"/>
    </row>
    <row r="47" spans="5:6" ht="12.75">
      <c r="E47" s="62"/>
      <c r="F47" s="59"/>
    </row>
    <row r="48" spans="5:6" ht="12.75">
      <c r="E48" s="62"/>
      <c r="F48" s="59"/>
    </row>
    <row r="49" spans="5:6" ht="12.75">
      <c r="E49" s="62"/>
      <c r="F49" s="59"/>
    </row>
    <row r="50" spans="5:6" ht="12.75">
      <c r="E50" s="62"/>
      <c r="F50" s="59"/>
    </row>
    <row r="51" spans="5:6" ht="12.75">
      <c r="E51" s="62"/>
      <c r="F51" s="59"/>
    </row>
    <row r="52" spans="5:6" ht="12.75">
      <c r="E52" s="62"/>
      <c r="F52" s="59"/>
    </row>
    <row r="53" spans="5:6" ht="12.75">
      <c r="E53" s="62"/>
      <c r="F53" s="59"/>
    </row>
    <row r="54" spans="5:6" ht="12.75">
      <c r="E54" s="62"/>
      <c r="F54" s="59"/>
    </row>
    <row r="55" spans="5:6" ht="12.75">
      <c r="E55" s="62"/>
      <c r="F55" s="59"/>
    </row>
    <row r="56" spans="5:6" ht="12.75">
      <c r="E56" s="62"/>
      <c r="F56" s="59"/>
    </row>
    <row r="57" spans="5:6" ht="12.75">
      <c r="E57" s="62"/>
      <c r="F57" s="59"/>
    </row>
    <row r="58" spans="5:6" ht="12.75">
      <c r="E58" s="62"/>
      <c r="F58" s="59"/>
    </row>
    <row r="59" spans="5:6" ht="12.75">
      <c r="E59" s="62"/>
      <c r="F59" s="59"/>
    </row>
    <row r="60" spans="5:6" ht="12.75">
      <c r="E60" s="62"/>
      <c r="F60" s="59"/>
    </row>
    <row r="61" spans="5:6" ht="12.75">
      <c r="E61" s="62"/>
      <c r="F61" s="59"/>
    </row>
    <row r="62" spans="5:6" ht="12.75">
      <c r="E62" s="62"/>
      <c r="F62" s="59"/>
    </row>
    <row r="63" spans="5:6" ht="12.75">
      <c r="E63" s="62"/>
      <c r="F63" s="59"/>
    </row>
    <row r="64" spans="5:6" ht="12.75">
      <c r="E64" s="62"/>
      <c r="F64" s="59"/>
    </row>
    <row r="65" spans="5:6" ht="12.75">
      <c r="E65" s="62"/>
      <c r="F65" s="59"/>
    </row>
    <row r="66" spans="5:6" ht="12.75">
      <c r="E66" s="62"/>
      <c r="F66" s="59"/>
    </row>
    <row r="67" spans="5:6" ht="12.75">
      <c r="E67" s="62"/>
      <c r="F67" s="59"/>
    </row>
    <row r="68" spans="5:6" ht="12.75">
      <c r="E68" s="62"/>
      <c r="F68" s="59"/>
    </row>
    <row r="69" spans="5:6" ht="12.75">
      <c r="E69" s="62"/>
      <c r="F69" s="59"/>
    </row>
    <row r="70" spans="5:6" ht="12.75">
      <c r="E70" s="62"/>
      <c r="F70" s="59"/>
    </row>
    <row r="71" spans="5:6" ht="12.75">
      <c r="E71" s="62"/>
      <c r="F71" s="59"/>
    </row>
    <row r="72" spans="5:6" ht="12.75">
      <c r="E72" s="62"/>
      <c r="F72" s="59"/>
    </row>
    <row r="73" spans="5:6" ht="12.75">
      <c r="E73" s="62"/>
      <c r="F73" s="59"/>
    </row>
    <row r="74" spans="5:6" ht="12.75">
      <c r="E74" s="62"/>
      <c r="F74" s="59"/>
    </row>
    <row r="75" spans="5:6" ht="12.75">
      <c r="E75" s="62"/>
      <c r="F75" s="59"/>
    </row>
    <row r="76" spans="5:6" ht="12.75">
      <c r="E76" s="62"/>
      <c r="F76" s="59"/>
    </row>
    <row r="77" spans="5:6" ht="12.75">
      <c r="E77" s="62"/>
      <c r="F77" s="59"/>
    </row>
    <row r="78" spans="5:6" ht="12.75">
      <c r="E78" s="62"/>
      <c r="F78" s="59"/>
    </row>
    <row r="79" spans="5:6" ht="12.75">
      <c r="E79" s="62"/>
      <c r="F79" s="59"/>
    </row>
    <row r="80" spans="5:6" ht="12.75">
      <c r="E80" s="62"/>
      <c r="F80" s="59"/>
    </row>
    <row r="81" spans="5:6" ht="12.75">
      <c r="E81" s="62"/>
      <c r="F81" s="59"/>
    </row>
    <row r="82" spans="5:6" ht="12.75">
      <c r="E82" s="62"/>
      <c r="F82" s="59"/>
    </row>
    <row r="83" spans="5:6" ht="12.75">
      <c r="E83" s="62"/>
      <c r="F83" s="59"/>
    </row>
    <row r="84" spans="5:6" ht="12.75">
      <c r="E84" s="62"/>
      <c r="F84" s="59"/>
    </row>
    <row r="85" spans="5:6" ht="12.75">
      <c r="E85" s="62"/>
      <c r="F85" s="59"/>
    </row>
    <row r="86" spans="5:6" ht="12.75">
      <c r="E86" s="62"/>
      <c r="F86" s="59"/>
    </row>
    <row r="87" spans="5:6" ht="12.75">
      <c r="E87" s="62"/>
      <c r="F87" s="59"/>
    </row>
    <row r="88" spans="5:6" ht="12.75">
      <c r="E88" s="62"/>
      <c r="F88" s="59"/>
    </row>
    <row r="89" spans="5:6" ht="12.75">
      <c r="E89" s="62"/>
      <c r="F89" s="59"/>
    </row>
    <row r="90" spans="5:6" ht="12.75">
      <c r="E90" s="62"/>
      <c r="F90" s="59"/>
    </row>
    <row r="91" spans="5:6" ht="12.75">
      <c r="E91" s="62"/>
      <c r="F91" s="59"/>
    </row>
    <row r="92" spans="5:6" ht="12.75">
      <c r="E92" s="62"/>
      <c r="F92" s="59"/>
    </row>
    <row r="93" spans="5:6" ht="12.75">
      <c r="E93" s="62"/>
      <c r="F93" s="59"/>
    </row>
    <row r="94" spans="5:6" ht="12.75">
      <c r="E94" s="62"/>
      <c r="F94" s="59"/>
    </row>
    <row r="95" spans="5:6" ht="12.75">
      <c r="E95" s="62"/>
      <c r="F95" s="59"/>
    </row>
    <row r="96" spans="5:6" ht="12.75">
      <c r="E96" s="62"/>
      <c r="F96" s="59"/>
    </row>
    <row r="97" spans="5:6" ht="12.75">
      <c r="E97" s="62"/>
      <c r="F97" s="59"/>
    </row>
    <row r="98" spans="5:6" ht="12.75">
      <c r="E98" s="62"/>
      <c r="F98" s="59"/>
    </row>
    <row r="99" spans="5:6" ht="12.75">
      <c r="E99" s="62"/>
      <c r="F99" s="59"/>
    </row>
    <row r="100" spans="5:6" ht="12.75">
      <c r="E100" s="62"/>
      <c r="F100" s="59"/>
    </row>
    <row r="101" spans="5:6" ht="12.75">
      <c r="E101" s="62"/>
      <c r="F101" s="59"/>
    </row>
    <row r="102" spans="5:6" ht="12.75">
      <c r="E102" s="62"/>
      <c r="F102" s="59"/>
    </row>
    <row r="103" spans="5:6" ht="12.75">
      <c r="E103" s="62"/>
      <c r="F103" s="59"/>
    </row>
    <row r="104" spans="5:6" ht="12.75">
      <c r="E104" s="62"/>
      <c r="F104" s="59"/>
    </row>
    <row r="105" spans="5:6" ht="12.75">
      <c r="E105" s="62"/>
      <c r="F105" s="59"/>
    </row>
    <row r="106" spans="5:6" ht="12.75">
      <c r="E106" s="62"/>
      <c r="F106" s="59"/>
    </row>
    <row r="107" spans="5:6" ht="12.75">
      <c r="E107" s="62"/>
      <c r="F107" s="59"/>
    </row>
    <row r="108" spans="5:6" ht="12.75">
      <c r="E108" s="62"/>
      <c r="F108" s="59"/>
    </row>
    <row r="109" spans="5:6" ht="12.75">
      <c r="E109" s="62"/>
      <c r="F109" s="59"/>
    </row>
    <row r="110" spans="5:6" ht="12.75">
      <c r="E110" s="62"/>
      <c r="F110" s="59"/>
    </row>
    <row r="111" spans="5:6" ht="12.75">
      <c r="E111" s="62"/>
      <c r="F111" s="59"/>
    </row>
    <row r="112" spans="5:6" ht="12.75">
      <c r="E112" s="62"/>
      <c r="F112" s="59"/>
    </row>
    <row r="113" spans="5:6" ht="12.75">
      <c r="E113" s="62"/>
      <c r="F113" s="59"/>
    </row>
    <row r="114" spans="5:6" ht="12.75">
      <c r="E114" s="62"/>
      <c r="F114" s="59"/>
    </row>
    <row r="115" spans="5:6" ht="12.75">
      <c r="E115" s="62"/>
      <c r="F115" s="59"/>
    </row>
    <row r="116" spans="5:6" ht="12.75">
      <c r="E116" s="62"/>
      <c r="F116" s="59"/>
    </row>
    <row r="117" spans="5:6" ht="12.75">
      <c r="E117" s="62"/>
      <c r="F117" s="59"/>
    </row>
    <row r="118" spans="5:6" ht="12.75">
      <c r="E118" s="62"/>
      <c r="F118" s="59"/>
    </row>
    <row r="119" spans="5:6" ht="12.75">
      <c r="E119" s="62"/>
      <c r="F119" s="59"/>
    </row>
    <row r="120" spans="5:6" ht="12.75">
      <c r="E120" s="62"/>
      <c r="F120" s="59"/>
    </row>
    <row r="121" spans="5:6" ht="12.75">
      <c r="E121" s="62"/>
      <c r="F121" s="59"/>
    </row>
    <row r="122" spans="5:6" ht="12.75">
      <c r="E122" s="62"/>
      <c r="F122" s="59"/>
    </row>
    <row r="123" spans="5:6" ht="12.75">
      <c r="E123" s="62"/>
      <c r="F123" s="59"/>
    </row>
    <row r="124" spans="5:6" ht="12.75">
      <c r="E124" s="62"/>
      <c r="F124" s="59"/>
    </row>
    <row r="125" spans="5:6" ht="12.75">
      <c r="E125" s="62"/>
      <c r="F125" s="59"/>
    </row>
    <row r="126" spans="5:6" ht="12.75">
      <c r="E126" s="62"/>
      <c r="F126" s="59"/>
    </row>
    <row r="127" spans="5:6" ht="12.75">
      <c r="E127" s="62"/>
      <c r="F127" s="59"/>
    </row>
    <row r="128" spans="5:6" ht="12.75">
      <c r="E128" s="62"/>
      <c r="F128" s="59"/>
    </row>
    <row r="129" spans="5:6" ht="12.75">
      <c r="E129" s="62"/>
      <c r="F129" s="59"/>
    </row>
    <row r="130" spans="5:6" ht="12.75">
      <c r="E130" s="62"/>
      <c r="F130" s="59"/>
    </row>
    <row r="131" spans="5:6" ht="12.75">
      <c r="E131" s="62"/>
      <c r="F131" s="59"/>
    </row>
    <row r="132" spans="5:6" ht="12.75">
      <c r="E132" s="62"/>
      <c r="F132" s="59"/>
    </row>
    <row r="133" spans="5:6" ht="12.75">
      <c r="E133" s="62"/>
      <c r="F133" s="59"/>
    </row>
    <row r="134" spans="5:6" ht="12.75">
      <c r="E134" s="62"/>
      <c r="F134" s="59"/>
    </row>
    <row r="135" spans="5:6" ht="12.75">
      <c r="E135" s="62"/>
      <c r="F135" s="59"/>
    </row>
    <row r="136" spans="5:6" ht="12.75">
      <c r="E136" s="62"/>
      <c r="F136" s="59"/>
    </row>
    <row r="137" spans="5:6" ht="12.75">
      <c r="E137" s="62"/>
      <c r="F137" s="59"/>
    </row>
    <row r="138" spans="5:6" ht="12.75">
      <c r="E138" s="62"/>
      <c r="F138" s="59"/>
    </row>
    <row r="139" spans="5:6" ht="12.75">
      <c r="E139" s="62"/>
      <c r="F139" s="59"/>
    </row>
    <row r="140" spans="5:6" ht="12.75">
      <c r="E140" s="62"/>
      <c r="F140" s="59"/>
    </row>
    <row r="141" spans="5:6" ht="12.75">
      <c r="E141" s="62"/>
      <c r="F141" s="59"/>
    </row>
    <row r="142" spans="5:6" ht="12.75">
      <c r="E142" s="62"/>
      <c r="F142" s="59"/>
    </row>
    <row r="143" spans="5:6" ht="12.75">
      <c r="E143" s="62"/>
      <c r="F143" s="59"/>
    </row>
    <row r="144" spans="5:6" ht="12.75">
      <c r="E144" s="62"/>
      <c r="F144" s="59"/>
    </row>
    <row r="145" spans="5:6" ht="12.75">
      <c r="E145" s="62"/>
      <c r="F145" s="59"/>
    </row>
    <row r="146" spans="5:6" ht="12.75">
      <c r="E146" s="62"/>
      <c r="F146" s="59"/>
    </row>
    <row r="147" spans="5:6" ht="12.75">
      <c r="E147" s="62"/>
      <c r="F147" s="59"/>
    </row>
    <row r="148" spans="5:6" ht="12.75">
      <c r="E148" s="62"/>
      <c r="F148" s="59"/>
    </row>
    <row r="149" spans="5:6" ht="12.75">
      <c r="E149" s="62"/>
      <c r="F149" s="59"/>
    </row>
    <row r="150" spans="5:6" ht="12.75">
      <c r="E150" s="62"/>
      <c r="F150" s="59"/>
    </row>
    <row r="151" spans="5:6" ht="12.75">
      <c r="E151" s="62"/>
      <c r="F151" s="59"/>
    </row>
    <row r="152" spans="5:6" ht="12.75">
      <c r="E152" s="62"/>
      <c r="F152" s="59"/>
    </row>
    <row r="153" spans="5:6" ht="12.75">
      <c r="E153" s="62"/>
      <c r="F153" s="59"/>
    </row>
    <row r="154" spans="5:6" ht="12.75">
      <c r="E154" s="62"/>
      <c r="F154" s="59"/>
    </row>
    <row r="155" spans="5:6" ht="12.75">
      <c r="E155" s="62"/>
      <c r="F155" s="59"/>
    </row>
    <row r="156" spans="5:6" ht="12.75">
      <c r="E156" s="62"/>
      <c r="F156" s="59"/>
    </row>
    <row r="157" spans="5:6" ht="12.75">
      <c r="E157" s="62"/>
      <c r="F157" s="59"/>
    </row>
    <row r="158" spans="5:6" ht="12.75">
      <c r="E158" s="62"/>
      <c r="F158" s="59"/>
    </row>
    <row r="159" spans="5:6" ht="12.75">
      <c r="E159" s="62"/>
      <c r="F159" s="59"/>
    </row>
    <row r="160" spans="5:6" ht="12.75">
      <c r="E160" s="62"/>
      <c r="F160" s="59"/>
    </row>
    <row r="161" spans="5:6" ht="12.75">
      <c r="E161" s="62"/>
      <c r="F161" s="59"/>
    </row>
    <row r="162" spans="5:6" ht="12.75">
      <c r="E162" s="62"/>
      <c r="F162" s="59"/>
    </row>
    <row r="163" spans="5:6" ht="12.75">
      <c r="E163" s="62"/>
      <c r="F163" s="59"/>
    </row>
    <row r="164" spans="5:6" ht="12.75">
      <c r="E164" s="62"/>
      <c r="F164" s="59"/>
    </row>
    <row r="165" spans="5:6" ht="12.75">
      <c r="E165" s="62"/>
      <c r="F165" s="59"/>
    </row>
    <row r="166" spans="5:6" ht="12.75">
      <c r="E166" s="62"/>
      <c r="F166" s="59"/>
    </row>
    <row r="167" spans="5:6" ht="12.75">
      <c r="E167" s="62"/>
      <c r="F167" s="59"/>
    </row>
    <row r="168" spans="5:6" ht="12.75">
      <c r="E168" s="62"/>
      <c r="F168" s="59"/>
    </row>
    <row r="169" spans="5:6" ht="12.75">
      <c r="E169" s="62"/>
      <c r="F169" s="59"/>
    </row>
    <row r="170" spans="5:6" ht="12.75">
      <c r="E170" s="62"/>
      <c r="F170" s="59"/>
    </row>
    <row r="171" spans="5:6" ht="12.75">
      <c r="E171" s="62"/>
      <c r="F171" s="59"/>
    </row>
    <row r="172" spans="5:6" ht="12.75">
      <c r="E172" s="62"/>
      <c r="F172" s="59"/>
    </row>
    <row r="173" spans="5:6" ht="12.75">
      <c r="E173" s="62"/>
      <c r="F173" s="59"/>
    </row>
    <row r="174" spans="5:6" ht="12.75">
      <c r="E174" s="62"/>
      <c r="F174" s="59"/>
    </row>
    <row r="175" spans="5:6" ht="12.75">
      <c r="E175" s="62"/>
      <c r="F175" s="59"/>
    </row>
    <row r="176" spans="5:6" ht="12.75">
      <c r="E176" s="62"/>
      <c r="F176" s="59"/>
    </row>
    <row r="177" spans="5:6" ht="12.75">
      <c r="E177" s="62"/>
      <c r="F177" s="59"/>
    </row>
    <row r="178" spans="5:6" ht="12.75">
      <c r="E178" s="62"/>
      <c r="F178" s="59"/>
    </row>
    <row r="179" spans="5:6" ht="12.75">
      <c r="E179" s="62"/>
      <c r="F179" s="59"/>
    </row>
    <row r="180" spans="5:6" ht="12.75">
      <c r="E180" s="62"/>
      <c r="F180" s="59"/>
    </row>
    <row r="181" spans="5:6" ht="12.75">
      <c r="E181" s="62"/>
      <c r="F181" s="59"/>
    </row>
    <row r="182" spans="5:6" ht="12.75">
      <c r="E182" s="62"/>
      <c r="F182" s="59"/>
    </row>
    <row r="183" spans="5:6" ht="12.75">
      <c r="E183" s="62"/>
      <c r="F183" s="59"/>
    </row>
    <row r="184" spans="5:6" ht="12.75">
      <c r="E184" s="62"/>
      <c r="F184" s="59"/>
    </row>
    <row r="185" spans="5:6" ht="12.75">
      <c r="E185" s="62"/>
      <c r="F185" s="59"/>
    </row>
    <row r="186" spans="5:6" ht="12.75">
      <c r="E186" s="62"/>
      <c r="F186" s="59"/>
    </row>
    <row r="187" spans="5:6" ht="12.75">
      <c r="E187" s="62"/>
      <c r="F187" s="59"/>
    </row>
    <row r="188" spans="5:6" ht="12.75">
      <c r="E188" s="62"/>
      <c r="F188" s="59"/>
    </row>
    <row r="189" spans="5:6" ht="12.75">
      <c r="E189" s="62"/>
      <c r="F189" s="59"/>
    </row>
    <row r="190" spans="5:6" ht="12.75">
      <c r="E190" s="62"/>
      <c r="F190" s="59"/>
    </row>
    <row r="191" spans="5:6" ht="12.75">
      <c r="E191" s="62"/>
      <c r="F191" s="59"/>
    </row>
    <row r="192" spans="5:6" ht="12.75">
      <c r="E192" s="62"/>
      <c r="F192" s="59"/>
    </row>
    <row r="193" spans="5:6" ht="12.75">
      <c r="E193" s="62"/>
      <c r="F193" s="59"/>
    </row>
    <row r="194" spans="5:6" ht="12.75">
      <c r="E194" s="62"/>
      <c r="F194" s="59"/>
    </row>
    <row r="195" spans="5:6" ht="12.75">
      <c r="E195" s="62"/>
      <c r="F195" s="59"/>
    </row>
    <row r="196" spans="5:6" ht="12.75">
      <c r="E196" s="62"/>
      <c r="F196" s="59"/>
    </row>
    <row r="197" spans="5:6" ht="12.75">
      <c r="E197" s="62"/>
      <c r="F197" s="59"/>
    </row>
    <row r="198" spans="5:6" ht="12.75">
      <c r="E198" s="62"/>
      <c r="F198" s="59"/>
    </row>
    <row r="199" spans="5:6" ht="12.75">
      <c r="E199" s="62"/>
      <c r="F199" s="59"/>
    </row>
    <row r="200" spans="5:6" ht="12.75">
      <c r="E200" s="62"/>
      <c r="F200" s="59"/>
    </row>
    <row r="201" spans="5:6" ht="12.75">
      <c r="E201" s="62"/>
      <c r="F201" s="59"/>
    </row>
    <row r="202" spans="5:6" ht="12.75">
      <c r="E202" s="62"/>
      <c r="F202" s="59"/>
    </row>
    <row r="203" spans="5:6" ht="12.75">
      <c r="E203" s="62"/>
      <c r="F203" s="59"/>
    </row>
    <row r="204" spans="5:6" ht="12.75">
      <c r="E204" s="62"/>
      <c r="F204" s="59"/>
    </row>
    <row r="205" spans="5:6" ht="12.75">
      <c r="E205" s="62"/>
      <c r="F205" s="59"/>
    </row>
    <row r="206" spans="5:6" ht="12.75">
      <c r="E206" s="62"/>
      <c r="F206" s="59"/>
    </row>
    <row r="207" spans="5:6" ht="12.75">
      <c r="E207" s="62"/>
      <c r="F207" s="59"/>
    </row>
    <row r="208" spans="5:6" ht="12.75">
      <c r="E208" s="62"/>
      <c r="F208" s="59"/>
    </row>
    <row r="209" spans="5:6" ht="12.75">
      <c r="E209" s="62"/>
      <c r="F209" s="59"/>
    </row>
    <row r="210" spans="5:6" ht="12.75">
      <c r="E210" s="62"/>
      <c r="F210" s="59"/>
    </row>
    <row r="211" spans="5:6" ht="12.75">
      <c r="E211" s="62"/>
      <c r="F211" s="59"/>
    </row>
    <row r="212" spans="5:6" ht="12.75">
      <c r="E212" s="62"/>
      <c r="F212" s="59"/>
    </row>
    <row r="213" spans="5:6" ht="12.75">
      <c r="E213" s="62"/>
      <c r="F213" s="59"/>
    </row>
    <row r="214" spans="5:6" ht="12.75">
      <c r="E214" s="62"/>
      <c r="F214" s="59"/>
    </row>
    <row r="215" spans="5:6" ht="12.75">
      <c r="E215" s="62"/>
      <c r="F215" s="59"/>
    </row>
    <row r="216" spans="5:6" ht="12.75">
      <c r="E216" s="62"/>
      <c r="F216" s="59"/>
    </row>
    <row r="217" spans="5:6" ht="12.75">
      <c r="E217" s="62"/>
      <c r="F217" s="59"/>
    </row>
    <row r="218" spans="5:6" ht="12.75">
      <c r="E218" s="62"/>
      <c r="F218" s="59"/>
    </row>
    <row r="219" spans="5:6" ht="12.75">
      <c r="E219" s="62"/>
      <c r="F219" s="59"/>
    </row>
    <row r="220" spans="5:6" ht="12.75">
      <c r="E220" s="62"/>
      <c r="F220" s="59"/>
    </row>
    <row r="221" spans="5:6" ht="12.75">
      <c r="E221" s="62"/>
      <c r="F221" s="59"/>
    </row>
    <row r="222" spans="5:6" ht="12.75">
      <c r="E222" s="62"/>
      <c r="F222" s="59"/>
    </row>
    <row r="223" spans="5:6" ht="12.75">
      <c r="E223" s="62"/>
      <c r="F223" s="59"/>
    </row>
    <row r="224" spans="5:6" ht="12.75">
      <c r="E224" s="62"/>
      <c r="F224" s="59"/>
    </row>
    <row r="225" spans="5:6" ht="12.75">
      <c r="E225" s="62"/>
      <c r="F225" s="59"/>
    </row>
    <row r="226" spans="5:6" ht="12.75">
      <c r="E226" s="62"/>
      <c r="F226" s="59"/>
    </row>
    <row r="227" spans="5:6" ht="12.75">
      <c r="E227" s="62"/>
      <c r="F227" s="59"/>
    </row>
    <row r="228" spans="5:6" ht="12.75">
      <c r="E228" s="62"/>
      <c r="F228" s="59"/>
    </row>
    <row r="229" spans="5:6" ht="12.75">
      <c r="E229" s="62"/>
      <c r="F229" s="59"/>
    </row>
    <row r="230" spans="5:6" ht="12.75">
      <c r="E230" s="62"/>
      <c r="F230" s="59"/>
    </row>
    <row r="231" spans="5:6" ht="12.75">
      <c r="E231" s="62"/>
      <c r="F231" s="59"/>
    </row>
    <row r="232" spans="5:6" ht="12.75">
      <c r="E232" s="62"/>
      <c r="F232" s="59"/>
    </row>
    <row r="233" spans="5:6" ht="12.75">
      <c r="E233" s="62"/>
      <c r="F233" s="59"/>
    </row>
    <row r="234" spans="5:6" ht="12.75">
      <c r="E234" s="62"/>
      <c r="F234" s="59"/>
    </row>
    <row r="235" spans="5:6" ht="12.75">
      <c r="E235" s="62"/>
      <c r="F235" s="59"/>
    </row>
    <row r="236" spans="5:6" ht="12.75">
      <c r="E236" s="62"/>
      <c r="F236" s="59"/>
    </row>
    <row r="237" spans="5:6" ht="12.75">
      <c r="E237" s="62"/>
      <c r="F237" s="59"/>
    </row>
    <row r="238" spans="5:6" ht="12.75">
      <c r="E238" s="62"/>
      <c r="F238" s="59"/>
    </row>
    <row r="239" spans="5:6" ht="12.75">
      <c r="E239" s="62"/>
      <c r="F239" s="59"/>
    </row>
    <row r="240" spans="5:6" ht="12.75">
      <c r="E240" s="62"/>
      <c r="F240" s="59"/>
    </row>
    <row r="241" spans="5:6" ht="12.75">
      <c r="E241" s="62"/>
      <c r="F241" s="59"/>
    </row>
    <row r="242" spans="5:6" ht="12.75">
      <c r="E242" s="62"/>
      <c r="F242" s="59"/>
    </row>
    <row r="243" spans="5:6" ht="12.75">
      <c r="E243" s="62"/>
      <c r="F243" s="59"/>
    </row>
    <row r="244" spans="5:6" ht="12.75">
      <c r="E244" s="62"/>
      <c r="F244" s="59"/>
    </row>
    <row r="245" spans="5:6" ht="12.75">
      <c r="E245" s="62"/>
      <c r="F245" s="59"/>
    </row>
    <row r="246" spans="5:6" ht="12.75">
      <c r="E246" s="62"/>
      <c r="F246" s="59"/>
    </row>
    <row r="247" spans="5:6" ht="12.75">
      <c r="E247" s="62"/>
      <c r="F247" s="59"/>
    </row>
    <row r="248" spans="5:6" ht="12.75">
      <c r="E248" s="62"/>
      <c r="F248" s="59"/>
    </row>
    <row r="249" spans="5:6" ht="12.75">
      <c r="E249" s="62"/>
      <c r="F249" s="59"/>
    </row>
    <row r="250" spans="5:6" ht="12.75">
      <c r="E250" s="62"/>
      <c r="F250" s="59"/>
    </row>
    <row r="251" spans="5:6" ht="12.75">
      <c r="E251" s="62"/>
      <c r="F251" s="59"/>
    </row>
    <row r="252" spans="5:6" ht="12.75">
      <c r="E252" s="62"/>
      <c r="F252" s="59"/>
    </row>
    <row r="253" spans="5:6" ht="12.75">
      <c r="E253" s="62"/>
      <c r="F253" s="59"/>
    </row>
    <row r="254" spans="5:6" ht="12.75">
      <c r="E254" s="62"/>
      <c r="F254" s="59"/>
    </row>
    <row r="255" spans="5:6" ht="12.75">
      <c r="E255" s="62"/>
      <c r="F255" s="59"/>
    </row>
    <row r="256" spans="5:6" ht="12.75">
      <c r="E256" s="62"/>
      <c r="F256" s="59"/>
    </row>
    <row r="257" spans="5:6" ht="12.75">
      <c r="E257" s="62"/>
      <c r="F257" s="59"/>
    </row>
    <row r="258" spans="5:6" ht="12.75">
      <c r="E258" s="62"/>
      <c r="F258" s="59"/>
    </row>
    <row r="259" spans="5:6" ht="12.75">
      <c r="E259" s="62"/>
      <c r="F259" s="59"/>
    </row>
    <row r="260" spans="5:6" ht="12.75">
      <c r="E260" s="62"/>
      <c r="F260" s="59"/>
    </row>
    <row r="261" spans="5:6" ht="12.75">
      <c r="E261" s="62"/>
      <c r="F261" s="59"/>
    </row>
    <row r="262" spans="5:6" ht="12.75">
      <c r="E262" s="62"/>
      <c r="F262" s="59"/>
    </row>
    <row r="263" spans="5:6" ht="12.75">
      <c r="E263" s="62"/>
      <c r="F263" s="59"/>
    </row>
    <row r="264" spans="5:6" ht="12.75">
      <c r="E264" s="62"/>
      <c r="F264" s="59"/>
    </row>
    <row r="265" spans="5:6" ht="12.75">
      <c r="E265" s="62"/>
      <c r="F265" s="59"/>
    </row>
    <row r="266" spans="5:6" ht="12.75">
      <c r="E266" s="62"/>
      <c r="F266" s="59"/>
    </row>
    <row r="267" spans="5:6" ht="12.75">
      <c r="E267" s="62"/>
      <c r="F267" s="59"/>
    </row>
    <row r="268" spans="5:6" ht="12.75">
      <c r="E268" s="62"/>
      <c r="F268" s="59"/>
    </row>
    <row r="269" spans="5:6" ht="12.75">
      <c r="E269" s="62"/>
      <c r="F269" s="59"/>
    </row>
    <row r="270" spans="5:6" ht="12.75">
      <c r="E270" s="62"/>
      <c r="F270" s="59"/>
    </row>
    <row r="271" spans="5:6" ht="12.75">
      <c r="E271" s="62"/>
      <c r="F271" s="59"/>
    </row>
    <row r="272" spans="5:6" ht="12.75">
      <c r="E272" s="62"/>
      <c r="F272" s="59"/>
    </row>
    <row r="273" spans="5:6" ht="12.75">
      <c r="E273" s="62"/>
      <c r="F273" s="59"/>
    </row>
    <row r="274" spans="5:6" ht="12.75">
      <c r="E274" s="62"/>
      <c r="F274" s="59"/>
    </row>
    <row r="275" spans="5:6" ht="12.75">
      <c r="E275" s="62"/>
      <c r="F275" s="59"/>
    </row>
    <row r="276" spans="5:6" ht="12.75">
      <c r="E276" s="62"/>
      <c r="F276" s="59"/>
    </row>
    <row r="277" spans="5:6" ht="12.75">
      <c r="E277" s="62"/>
      <c r="F277" s="59"/>
    </row>
    <row r="278" spans="5:6" ht="12.75">
      <c r="E278" s="62"/>
      <c r="F278" s="59"/>
    </row>
    <row r="279" spans="5:6" ht="12.75">
      <c r="E279" s="62"/>
      <c r="F279" s="59"/>
    </row>
    <row r="280" spans="5:6" ht="12.75">
      <c r="E280" s="62"/>
      <c r="F280" s="59"/>
    </row>
    <row r="281" spans="5:6" ht="12.75">
      <c r="E281" s="62"/>
      <c r="F281" s="59"/>
    </row>
    <row r="282" spans="5:6" ht="12.75">
      <c r="E282" s="62"/>
      <c r="F282" s="59"/>
    </row>
    <row r="283" spans="5:6" ht="12.75">
      <c r="E283" s="62"/>
      <c r="F283" s="59"/>
    </row>
    <row r="284" spans="5:6" ht="12.75">
      <c r="E284" s="62"/>
      <c r="F284" s="59"/>
    </row>
    <row r="285" spans="5:6" ht="12.75">
      <c r="E285" s="62"/>
      <c r="F285" s="59"/>
    </row>
    <row r="286" spans="5:6" ht="12.75">
      <c r="E286" s="62"/>
      <c r="F286" s="59"/>
    </row>
    <row r="287" spans="5:6" ht="12.75">
      <c r="E287" s="62"/>
      <c r="F287" s="59"/>
    </row>
    <row r="288" spans="5:6" ht="12.75">
      <c r="E288" s="62"/>
      <c r="F288" s="59"/>
    </row>
    <row r="289" spans="5:6" ht="12.75">
      <c r="E289" s="62"/>
      <c r="F289" s="59"/>
    </row>
    <row r="290" spans="5:6" ht="12.75">
      <c r="E290" s="62"/>
      <c r="F290" s="59"/>
    </row>
    <row r="291" spans="5:6" ht="12.75">
      <c r="E291" s="62"/>
      <c r="F291" s="59"/>
    </row>
    <row r="292" spans="5:6" ht="12.75">
      <c r="E292" s="62"/>
      <c r="F292" s="59"/>
    </row>
    <row r="293" spans="5:6" ht="12.75">
      <c r="E293" s="62"/>
      <c r="F293" s="59"/>
    </row>
    <row r="294" spans="5:6" ht="12.75">
      <c r="E294" s="62"/>
      <c r="F294" s="59"/>
    </row>
    <row r="295" spans="5:6" ht="12.75">
      <c r="E295" s="62"/>
      <c r="F295" s="59"/>
    </row>
    <row r="296" spans="5:6" ht="12.75">
      <c r="E296" s="62"/>
      <c r="F296" s="59"/>
    </row>
    <row r="297" spans="5:6" ht="12.75">
      <c r="E297" s="62"/>
      <c r="F297" s="59"/>
    </row>
    <row r="298" spans="5:6" ht="12.75">
      <c r="E298" s="62"/>
      <c r="F298" s="59"/>
    </row>
    <row r="299" spans="5:6" ht="12.75">
      <c r="E299" s="62"/>
      <c r="F299" s="59"/>
    </row>
    <row r="300" spans="5:6" ht="12.75">
      <c r="E300" s="62"/>
      <c r="F300" s="59"/>
    </row>
    <row r="301" spans="5:6" ht="12.75">
      <c r="E301" s="62"/>
      <c r="F301" s="59"/>
    </row>
    <row r="302" spans="5:6" ht="12.75">
      <c r="E302" s="62"/>
      <c r="F302" s="59"/>
    </row>
    <row r="303" spans="5:6" ht="12.75">
      <c r="E303" s="62"/>
      <c r="F303" s="59"/>
    </row>
    <row r="304" spans="5:6" ht="12.75">
      <c r="E304" s="62"/>
      <c r="F304" s="59"/>
    </row>
    <row r="305" spans="5:6" ht="12.75">
      <c r="E305" s="62"/>
      <c r="F305" s="59"/>
    </row>
    <row r="306" spans="5:6" ht="12.75">
      <c r="E306" s="62"/>
      <c r="F306" s="59"/>
    </row>
    <row r="307" spans="5:6" ht="12.75">
      <c r="E307" s="62"/>
      <c r="F307" s="59"/>
    </row>
    <row r="308" spans="5:6" ht="12.75">
      <c r="E308" s="62"/>
      <c r="F308" s="59"/>
    </row>
    <row r="309" spans="5:6" ht="12.75">
      <c r="E309" s="62"/>
      <c r="F309" s="59"/>
    </row>
    <row r="310" spans="5:6" ht="12.75">
      <c r="E310" s="62"/>
      <c r="F310" s="59"/>
    </row>
    <row r="311" spans="5:6" ht="12.75">
      <c r="E311" s="62"/>
      <c r="F311" s="59"/>
    </row>
    <row r="312" spans="5:6" ht="12.75">
      <c r="E312" s="62"/>
      <c r="F312" s="59"/>
    </row>
    <row r="313" spans="5:6" ht="12.75">
      <c r="E313" s="62"/>
      <c r="F313" s="59"/>
    </row>
    <row r="314" spans="5:6" ht="12.75">
      <c r="E314" s="62"/>
      <c r="F314" s="59"/>
    </row>
    <row r="315" spans="5:6" ht="12.75">
      <c r="E315" s="62"/>
      <c r="F315" s="59"/>
    </row>
    <row r="316" spans="5:6" ht="12.75">
      <c r="E316" s="62"/>
      <c r="F316" s="59"/>
    </row>
    <row r="317" spans="5:6" ht="12.75">
      <c r="E317" s="62"/>
      <c r="F317" s="59"/>
    </row>
    <row r="318" spans="5:6" ht="12.75">
      <c r="E318" s="62"/>
      <c r="F318" s="59"/>
    </row>
    <row r="319" spans="5:6" ht="12.75">
      <c r="E319" s="62"/>
      <c r="F319" s="59"/>
    </row>
    <row r="320" spans="5:6" ht="12.75">
      <c r="E320" s="62"/>
      <c r="F320" s="59"/>
    </row>
    <row r="321" spans="5:6" ht="12.75">
      <c r="E321" s="62"/>
      <c r="F321" s="59"/>
    </row>
    <row r="322" spans="5:6" ht="12.75">
      <c r="E322" s="62"/>
      <c r="F322" s="59"/>
    </row>
    <row r="323" spans="5:6" ht="12.75">
      <c r="E323" s="62"/>
      <c r="F323" s="59"/>
    </row>
    <row r="324" spans="5:6" ht="12.75">
      <c r="E324" s="62"/>
      <c r="F324" s="59"/>
    </row>
    <row r="325" spans="5:6" ht="12.75">
      <c r="E325" s="62"/>
      <c r="F325" s="59"/>
    </row>
    <row r="326" spans="5:6" ht="12.75">
      <c r="E326" s="62"/>
      <c r="F326" s="59"/>
    </row>
    <row r="327" spans="5:6" ht="12.75">
      <c r="E327" s="62"/>
      <c r="F327" s="59"/>
    </row>
    <row r="328" spans="5:6" ht="12.75">
      <c r="E328" s="62"/>
      <c r="F328" s="59"/>
    </row>
    <row r="329" spans="5:6" ht="12.75">
      <c r="E329" s="62"/>
      <c r="F329" s="59"/>
    </row>
    <row r="330" spans="5:6" ht="12.75">
      <c r="E330" s="62"/>
      <c r="F330" s="59"/>
    </row>
    <row r="331" spans="5:6" ht="12.75">
      <c r="E331" s="62"/>
      <c r="F331" s="59"/>
    </row>
    <row r="332" spans="5:6" ht="12.75">
      <c r="E332" s="62"/>
      <c r="F332" s="59"/>
    </row>
    <row r="333" spans="5:6" ht="12.75">
      <c r="E333" s="62"/>
      <c r="F333" s="59"/>
    </row>
    <row r="334" spans="5:6" ht="12.75">
      <c r="E334" s="62"/>
      <c r="F334" s="59"/>
    </row>
    <row r="335" spans="5:6" ht="12.75">
      <c r="E335" s="62"/>
      <c r="F335" s="59"/>
    </row>
    <row r="336" spans="5:6" ht="12.75">
      <c r="E336" s="62"/>
      <c r="F336" s="59"/>
    </row>
    <row r="337" spans="5:6" ht="12.75">
      <c r="E337" s="62"/>
      <c r="F337" s="59"/>
    </row>
    <row r="338" spans="5:6" ht="12.75">
      <c r="E338" s="62"/>
      <c r="F338" s="59"/>
    </row>
    <row r="339" spans="5:6" ht="12.75">
      <c r="E339" s="62"/>
      <c r="F339" s="59"/>
    </row>
    <row r="340" spans="5:6" ht="12.75">
      <c r="E340" s="62"/>
      <c r="F340" s="59"/>
    </row>
    <row r="341" spans="5:6" ht="12.75">
      <c r="E341" s="62"/>
      <c r="F341" s="59"/>
    </row>
    <row r="342" spans="5:6" ht="12.75">
      <c r="E342" s="62"/>
      <c r="F342" s="59"/>
    </row>
    <row r="343" spans="5:6" ht="12.75">
      <c r="E343" s="62"/>
      <c r="F343" s="59"/>
    </row>
    <row r="344" spans="5:6" ht="12.75">
      <c r="E344" s="62"/>
      <c r="F344" s="59"/>
    </row>
    <row r="345" spans="5:6" ht="12.75">
      <c r="E345" s="62"/>
      <c r="F345" s="59"/>
    </row>
    <row r="346" spans="5:6" ht="12.75">
      <c r="E346" s="62"/>
      <c r="F346" s="59"/>
    </row>
    <row r="347" spans="5:6" ht="12.75">
      <c r="E347" s="62"/>
      <c r="F347" s="59"/>
    </row>
    <row r="348" spans="5:6" ht="12.75">
      <c r="E348" s="62"/>
      <c r="F348" s="59"/>
    </row>
    <row r="349" spans="5:6" ht="12.75">
      <c r="E349" s="62"/>
      <c r="F349" s="59"/>
    </row>
    <row r="350" spans="5:6" ht="12.75">
      <c r="E350" s="62"/>
      <c r="F350" s="59"/>
    </row>
    <row r="351" spans="5:6" ht="12.75">
      <c r="E351" s="62"/>
      <c r="F351" s="59"/>
    </row>
    <row r="352" spans="5:6" ht="12.75">
      <c r="E352" s="62"/>
      <c r="F352" s="59"/>
    </row>
    <row r="353" spans="5:6" ht="12.75">
      <c r="E353" s="62"/>
      <c r="F353" s="59"/>
    </row>
    <row r="354" spans="5:6" ht="12.75">
      <c r="E354" s="62"/>
      <c r="F354" s="59"/>
    </row>
    <row r="355" spans="5:6" ht="12.75">
      <c r="E355" s="62"/>
      <c r="F355" s="59"/>
    </row>
    <row r="356" spans="5:6" ht="12.75">
      <c r="E356" s="62"/>
      <c r="F356" s="59"/>
    </row>
    <row r="357" spans="5:6" ht="12.75">
      <c r="E357" s="62"/>
      <c r="F357" s="59"/>
    </row>
    <row r="358" spans="5:6" ht="12.75">
      <c r="E358" s="62"/>
      <c r="F358" s="59"/>
    </row>
    <row r="359" spans="5:6" ht="12.75">
      <c r="E359" s="62"/>
      <c r="F359" s="59"/>
    </row>
    <row r="360" spans="5:6" ht="12.75">
      <c r="E360" s="62"/>
      <c r="F360" s="59"/>
    </row>
    <row r="361" spans="5:6" ht="12.75">
      <c r="E361" s="62"/>
      <c r="F361" s="59"/>
    </row>
    <row r="362" spans="5:6" ht="12.75">
      <c r="E362" s="62"/>
      <c r="F362" s="59"/>
    </row>
    <row r="363" spans="5:6" ht="12.75">
      <c r="E363" s="62"/>
      <c r="F363" s="59"/>
    </row>
    <row r="364" spans="5:6" ht="12.75">
      <c r="E364" s="62"/>
      <c r="F364" s="59"/>
    </row>
    <row r="365" spans="5:6" ht="12.75">
      <c r="E365" s="62"/>
      <c r="F365" s="59"/>
    </row>
    <row r="366" spans="5:6" ht="12.75">
      <c r="E366" s="62"/>
      <c r="F366" s="59"/>
    </row>
    <row r="367" spans="5:6" ht="12.75">
      <c r="E367" s="62"/>
      <c r="F367" s="59"/>
    </row>
    <row r="368" spans="5:6" ht="12.75">
      <c r="E368" s="62"/>
      <c r="F368" s="59"/>
    </row>
    <row r="369" spans="5:6" ht="12.75">
      <c r="E369" s="62"/>
      <c r="F369" s="59"/>
    </row>
    <row r="370" spans="5:6" ht="12.75">
      <c r="E370" s="62"/>
      <c r="F370" s="59"/>
    </row>
    <row r="371" spans="5:6" ht="12.75">
      <c r="E371" s="62"/>
      <c r="F371" s="59"/>
    </row>
    <row r="372" spans="5:6" ht="12.75">
      <c r="E372" s="62"/>
      <c r="F372" s="59"/>
    </row>
    <row r="373" spans="5:6" ht="12.75">
      <c r="E373" s="62"/>
      <c r="F373" s="59"/>
    </row>
    <row r="374" spans="5:6" ht="12.75">
      <c r="E374" s="62"/>
      <c r="F374" s="59"/>
    </row>
    <row r="375" spans="5:6" ht="12.75">
      <c r="E375" s="62"/>
      <c r="F375" s="59"/>
    </row>
    <row r="376" spans="5:6" ht="12.75">
      <c r="E376" s="62"/>
      <c r="F376" s="59"/>
    </row>
    <row r="377" spans="5:6" ht="12.75">
      <c r="E377" s="62"/>
      <c r="F377" s="59"/>
    </row>
    <row r="378" spans="5:6" ht="12.75">
      <c r="E378" s="62"/>
      <c r="F378" s="59"/>
    </row>
    <row r="379" spans="5:6" ht="12.75">
      <c r="E379" s="62"/>
      <c r="F379" s="59"/>
    </row>
    <row r="380" spans="5:6" ht="12.75">
      <c r="E380" s="62"/>
      <c r="F380" s="59"/>
    </row>
    <row r="381" spans="5:6" ht="12.75">
      <c r="E381" s="62"/>
      <c r="F381" s="59"/>
    </row>
    <row r="382" spans="5:6" ht="12.75">
      <c r="E382" s="62"/>
      <c r="F382" s="59"/>
    </row>
    <row r="383" spans="5:6" ht="12.75">
      <c r="E383" s="62"/>
      <c r="F383" s="59"/>
    </row>
    <row r="384" spans="5:6" ht="12.75">
      <c r="E384" s="62"/>
      <c r="F384" s="59"/>
    </row>
    <row r="385" spans="5:6" ht="12.75">
      <c r="E385" s="62"/>
      <c r="F385" s="59"/>
    </row>
    <row r="386" spans="5:6" ht="12.75">
      <c r="E386" s="62"/>
      <c r="F386" s="59"/>
    </row>
    <row r="387" spans="5:6" ht="12.75">
      <c r="E387" s="62"/>
      <c r="F387" s="59"/>
    </row>
    <row r="388" spans="5:6" ht="12.75">
      <c r="E388" s="62"/>
      <c r="F388" s="59"/>
    </row>
    <row r="389" spans="5:6" ht="12.75">
      <c r="E389" s="62"/>
      <c r="F389" s="59"/>
    </row>
    <row r="390" spans="5:6" ht="12.75">
      <c r="E390" s="62"/>
      <c r="F390" s="59"/>
    </row>
    <row r="391" spans="5:6" ht="12.75">
      <c r="E391" s="62"/>
      <c r="F391" s="59"/>
    </row>
    <row r="392" spans="5:6" ht="12.75">
      <c r="E392" s="62"/>
      <c r="F392" s="59"/>
    </row>
    <row r="393" spans="5:6" ht="12.75">
      <c r="E393" s="62"/>
      <c r="F393" s="59"/>
    </row>
    <row r="394" spans="5:6" ht="12.75">
      <c r="E394" s="62"/>
      <c r="F394" s="59"/>
    </row>
    <row r="395" spans="5:6" ht="12.75">
      <c r="E395" s="62"/>
      <c r="F395" s="59"/>
    </row>
    <row r="396" spans="5:6" ht="12.75">
      <c r="E396" s="62"/>
      <c r="F396" s="59"/>
    </row>
    <row r="397" spans="5:6" ht="12.75">
      <c r="E397" s="62"/>
      <c r="F397" s="59"/>
    </row>
    <row r="398" spans="5:6" ht="12.75">
      <c r="E398" s="62"/>
      <c r="F398" s="59"/>
    </row>
    <row r="399" spans="5:6" ht="12.75">
      <c r="E399" s="62"/>
      <c r="F399" s="59"/>
    </row>
    <row r="400" spans="5:6" ht="12.75">
      <c r="E400" s="62"/>
      <c r="F400" s="59"/>
    </row>
    <row r="401" spans="5:6" ht="12.75">
      <c r="E401" s="62"/>
      <c r="F401" s="59"/>
    </row>
    <row r="402" spans="5:6" ht="12.75">
      <c r="E402" s="62"/>
      <c r="F402" s="59"/>
    </row>
    <row r="403" spans="5:6" ht="12.75">
      <c r="E403" s="62"/>
      <c r="F403" s="59"/>
    </row>
    <row r="404" spans="5:6" ht="12.75">
      <c r="E404" s="62"/>
      <c r="F404" s="59"/>
    </row>
    <row r="405" spans="5:6" ht="12.75">
      <c r="E405" s="62"/>
      <c r="F405" s="59"/>
    </row>
    <row r="406" spans="5:6" ht="12.75">
      <c r="E406" s="62"/>
      <c r="F406" s="59"/>
    </row>
    <row r="407" spans="5:6" ht="12.75">
      <c r="E407" s="62"/>
      <c r="F407" s="59"/>
    </row>
    <row r="408" spans="5:6" ht="12.75">
      <c r="E408" s="62"/>
      <c r="F408" s="59"/>
    </row>
    <row r="409" spans="5:6" ht="12.75">
      <c r="E409" s="62"/>
      <c r="F409" s="59"/>
    </row>
    <row r="410" spans="5:6" ht="12.75">
      <c r="E410" s="62"/>
      <c r="F410" s="59"/>
    </row>
    <row r="411" spans="5:6" ht="12.75">
      <c r="E411" s="62"/>
      <c r="F411" s="59"/>
    </row>
    <row r="412" spans="5:6" ht="12.75">
      <c r="E412" s="62"/>
      <c r="F412" s="59"/>
    </row>
    <row r="413" spans="5:6" ht="12.75">
      <c r="E413" s="62"/>
      <c r="F413" s="59"/>
    </row>
    <row r="414" spans="5:6" ht="12.75">
      <c r="E414" s="62"/>
      <c r="F414" s="59"/>
    </row>
    <row r="415" spans="5:6" ht="12.75">
      <c r="E415" s="62"/>
      <c r="F415" s="59"/>
    </row>
    <row r="416" spans="5:6" ht="12.75">
      <c r="E416" s="62"/>
      <c r="F416" s="59"/>
    </row>
    <row r="417" spans="5:6" ht="12.75">
      <c r="E417" s="62"/>
      <c r="F417" s="59"/>
    </row>
    <row r="418" spans="5:6" ht="12.75">
      <c r="E418" s="62"/>
      <c r="F418" s="59"/>
    </row>
    <row r="419" spans="5:6" ht="12.75">
      <c r="E419" s="62"/>
      <c r="F419" s="59"/>
    </row>
    <row r="420" spans="5:6" ht="12.75">
      <c r="E420" s="62"/>
      <c r="F420" s="59"/>
    </row>
    <row r="421" spans="5:6" ht="12.75">
      <c r="E421" s="62"/>
      <c r="F421" s="59"/>
    </row>
    <row r="422" spans="5:6" ht="12.75">
      <c r="E422" s="62"/>
      <c r="F422" s="59"/>
    </row>
    <row r="423" spans="5:6" ht="12.75">
      <c r="E423" s="62"/>
      <c r="F423" s="59"/>
    </row>
    <row r="424" spans="5:6" ht="12.75">
      <c r="E424" s="62"/>
      <c r="F424" s="59"/>
    </row>
    <row r="425" spans="5:6" ht="12.75">
      <c r="E425" s="62"/>
      <c r="F425" s="59"/>
    </row>
    <row r="426" spans="5:6" ht="12.75">
      <c r="E426" s="62"/>
      <c r="F426" s="59"/>
    </row>
    <row r="427" spans="5:6" ht="12.75">
      <c r="E427" s="62"/>
      <c r="F427" s="59"/>
    </row>
    <row r="428" spans="5:6" ht="12.75">
      <c r="E428" s="62"/>
      <c r="F428" s="59"/>
    </row>
    <row r="429" spans="5:6" ht="12.75">
      <c r="E429" s="62"/>
      <c r="F429" s="59"/>
    </row>
    <row r="430" spans="5:6" ht="12.75">
      <c r="E430" s="62"/>
      <c r="F430" s="59"/>
    </row>
    <row r="431" spans="5:6" ht="12.75">
      <c r="E431" s="62"/>
      <c r="F431" s="59"/>
    </row>
    <row r="432" spans="5:6" ht="12.75">
      <c r="E432" s="62"/>
      <c r="F432" s="59"/>
    </row>
    <row r="433" spans="5:6" ht="12.75">
      <c r="E433" s="62"/>
      <c r="F433" s="59"/>
    </row>
    <row r="434" spans="5:6" ht="12.75">
      <c r="E434" s="62"/>
      <c r="F434" s="59"/>
    </row>
    <row r="435" spans="5:6" ht="12.75">
      <c r="E435" s="62"/>
      <c r="F435" s="59"/>
    </row>
    <row r="436" spans="5:6" ht="12.75">
      <c r="E436" s="62"/>
      <c r="F436" s="59"/>
    </row>
    <row r="437" spans="5:6" ht="12.75">
      <c r="E437" s="62"/>
      <c r="F437" s="59"/>
    </row>
    <row r="438" spans="5:6" ht="12.75">
      <c r="E438" s="62"/>
      <c r="F438" s="59"/>
    </row>
    <row r="439" spans="5:6" ht="12.75">
      <c r="E439" s="62"/>
      <c r="F439" s="59"/>
    </row>
    <row r="440" spans="5:6" ht="12.75">
      <c r="E440" s="62"/>
      <c r="F440" s="59"/>
    </row>
    <row r="441" spans="5:6" ht="12.75">
      <c r="E441" s="62"/>
      <c r="F441" s="59"/>
    </row>
    <row r="442" spans="5:6" ht="12.75">
      <c r="E442" s="62"/>
      <c r="F442" s="59"/>
    </row>
    <row r="443" spans="5:6" ht="12.75">
      <c r="E443" s="62"/>
      <c r="F443" s="59"/>
    </row>
    <row r="444" spans="5:6" ht="12.75">
      <c r="E444" s="62"/>
      <c r="F444" s="59"/>
    </row>
    <row r="445" spans="5:6" ht="12.75">
      <c r="E445" s="62"/>
      <c r="F445" s="59"/>
    </row>
    <row r="446" spans="5:6" ht="12.75">
      <c r="E446" s="62"/>
      <c r="F446" s="59"/>
    </row>
    <row r="447" spans="5:6" ht="12.75">
      <c r="E447" s="62"/>
      <c r="F447" s="59"/>
    </row>
    <row r="448" spans="5:6" ht="12.75">
      <c r="E448" s="62"/>
      <c r="F448" s="59"/>
    </row>
    <row r="449" spans="5:6" ht="12.75">
      <c r="E449" s="62"/>
      <c r="F449" s="59"/>
    </row>
    <row r="450" spans="5:6" ht="12.75">
      <c r="E450" s="62"/>
      <c r="F450" s="59"/>
    </row>
    <row r="451" spans="5:6" ht="12.75">
      <c r="E451" s="62"/>
      <c r="F451" s="59"/>
    </row>
    <row r="452" spans="5:6" ht="12.75">
      <c r="E452" s="62"/>
      <c r="F452" s="59"/>
    </row>
    <row r="453" spans="5:6" ht="12.75">
      <c r="E453" s="62"/>
      <c r="F453" s="59"/>
    </row>
    <row r="454" spans="5:6" ht="12.75">
      <c r="E454" s="62"/>
      <c r="F454" s="59"/>
    </row>
    <row r="455" spans="5:6" ht="12.75">
      <c r="E455" s="62"/>
      <c r="F455" s="59"/>
    </row>
    <row r="456" spans="5:6" ht="12.75">
      <c r="E456" s="62"/>
      <c r="F456" s="59"/>
    </row>
    <row r="457" spans="5:6" ht="12.75">
      <c r="E457" s="62"/>
      <c r="F457" s="59"/>
    </row>
    <row r="458" spans="5:6" ht="12.75">
      <c r="E458" s="62"/>
      <c r="F458" s="59"/>
    </row>
    <row r="459" spans="5:6" ht="12.75">
      <c r="E459" s="62"/>
      <c r="F459" s="59"/>
    </row>
    <row r="460" spans="5:6" ht="12.75">
      <c r="E460" s="62"/>
      <c r="F460" s="59"/>
    </row>
    <row r="461" spans="5:6" ht="12.75">
      <c r="E461" s="62"/>
      <c r="F461" s="59"/>
    </row>
    <row r="462" spans="5:6" ht="12.75">
      <c r="E462" s="62"/>
      <c r="F462" s="59"/>
    </row>
    <row r="463" spans="5:6" ht="12.75">
      <c r="E463" s="62"/>
      <c r="F463" s="59"/>
    </row>
    <row r="464" spans="5:6" ht="12.75">
      <c r="E464" s="62"/>
      <c r="F464" s="59"/>
    </row>
    <row r="465" spans="5:6" ht="12.75">
      <c r="E465" s="62"/>
      <c r="F465" s="59"/>
    </row>
    <row r="466" spans="5:6" ht="12.75">
      <c r="E466" s="62"/>
      <c r="F466" s="59"/>
    </row>
    <row r="467" spans="5:6" ht="12.75">
      <c r="E467" s="62"/>
      <c r="F467" s="59"/>
    </row>
    <row r="468" spans="5:6" ht="12.75">
      <c r="E468" s="62"/>
      <c r="F468" s="59"/>
    </row>
    <row r="469" spans="5:6" ht="12.75">
      <c r="E469" s="62"/>
      <c r="F469" s="59"/>
    </row>
    <row r="470" spans="5:6" ht="12.75">
      <c r="E470" s="62"/>
      <c r="F470" s="59"/>
    </row>
    <row r="471" spans="5:6" ht="12.75">
      <c r="E471" s="62"/>
      <c r="F471" s="59"/>
    </row>
    <row r="472" spans="5:6" ht="12.75">
      <c r="E472" s="62"/>
      <c r="F472" s="59"/>
    </row>
    <row r="473" spans="5:6" ht="12.75">
      <c r="E473" s="62"/>
      <c r="F473" s="59"/>
    </row>
    <row r="474" spans="5:6" ht="12.75">
      <c r="E474" s="62"/>
      <c r="F474" s="59"/>
    </row>
    <row r="475" spans="5:6" ht="12.75">
      <c r="E475" s="62"/>
      <c r="F475" s="59"/>
    </row>
    <row r="476" spans="5:6" ht="12.75">
      <c r="E476" s="62"/>
      <c r="F476" s="59"/>
    </row>
    <row r="477" spans="5:6" ht="12.75">
      <c r="E477" s="62"/>
      <c r="F477" s="59"/>
    </row>
    <row r="478" spans="5:6" ht="12.75">
      <c r="E478" s="62"/>
      <c r="F478" s="59"/>
    </row>
    <row r="479" spans="5:6" ht="12.75">
      <c r="E479" s="62"/>
      <c r="F479" s="59"/>
    </row>
    <row r="480" spans="5:6" ht="12.75">
      <c r="E480" s="62"/>
      <c r="F480" s="59"/>
    </row>
    <row r="481" spans="5:6" ht="12.75">
      <c r="E481" s="62"/>
      <c r="F481" s="59"/>
    </row>
    <row r="482" spans="5:6" ht="12.75">
      <c r="E482" s="62"/>
      <c r="F482" s="59"/>
    </row>
    <row r="483" spans="5:6" ht="12.75">
      <c r="E483" s="62"/>
      <c r="F483" s="59"/>
    </row>
    <row r="484" spans="5:6" ht="12.75">
      <c r="E484" s="62"/>
      <c r="F484" s="59"/>
    </row>
    <row r="485" spans="5:6" ht="12.75">
      <c r="E485" s="62"/>
      <c r="F485" s="59"/>
    </row>
    <row r="486" spans="5:6" ht="12.75">
      <c r="E486" s="62"/>
      <c r="F486" s="59"/>
    </row>
    <row r="487" spans="5:6" ht="12.75">
      <c r="E487" s="62"/>
      <c r="F487" s="59"/>
    </row>
    <row r="488" spans="5:6" ht="12.75">
      <c r="E488" s="62"/>
      <c r="F488" s="59"/>
    </row>
    <row r="489" spans="5:6" ht="12.75">
      <c r="E489" s="62"/>
      <c r="F489" s="59"/>
    </row>
    <row r="490" spans="5:6" ht="12.75">
      <c r="E490" s="62"/>
      <c r="F490" s="59"/>
    </row>
    <row r="491" spans="5:6" ht="12.75">
      <c r="E491" s="62"/>
      <c r="F491" s="59"/>
    </row>
    <row r="492" spans="5:6" ht="12.75">
      <c r="E492" s="62"/>
      <c r="F492" s="59"/>
    </row>
    <row r="493" spans="5:6" ht="12.75">
      <c r="E493" s="62"/>
      <c r="F493" s="59"/>
    </row>
    <row r="494" spans="5:6" ht="12.75">
      <c r="E494" s="62"/>
      <c r="F494" s="59"/>
    </row>
    <row r="495" spans="5:6" ht="12.75">
      <c r="E495" s="62"/>
      <c r="F495" s="59"/>
    </row>
    <row r="496" spans="5:6" ht="12.75">
      <c r="E496" s="62"/>
      <c r="F496" s="59"/>
    </row>
    <row r="497" spans="5:6" ht="12.75">
      <c r="E497" s="62"/>
      <c r="F497" s="59"/>
    </row>
    <row r="498" spans="5:6" ht="12.75">
      <c r="E498" s="62"/>
      <c r="F498" s="59"/>
    </row>
    <row r="499" spans="5:6" ht="12.75">
      <c r="E499" s="62"/>
      <c r="F499" s="59"/>
    </row>
    <row r="500" spans="5:6" ht="12.75">
      <c r="E500" s="62"/>
      <c r="F500" s="59"/>
    </row>
    <row r="501" spans="5:6" ht="12.75">
      <c r="E501" s="62"/>
      <c r="F501" s="59"/>
    </row>
    <row r="502" spans="5:6" ht="12.75">
      <c r="E502" s="62"/>
      <c r="F502" s="59"/>
    </row>
    <row r="503" spans="5:6" ht="12.75">
      <c r="E503" s="62"/>
      <c r="F503" s="59"/>
    </row>
    <row r="504" spans="5:6" ht="12.75">
      <c r="E504" s="62"/>
      <c r="F504" s="59"/>
    </row>
    <row r="505" spans="5:6" ht="12.75">
      <c r="E505" s="62"/>
      <c r="F505" s="59"/>
    </row>
    <row r="506" spans="5:6" ht="12.75">
      <c r="E506" s="62"/>
      <c r="F506" s="59"/>
    </row>
    <row r="507" spans="5:6" ht="12.75">
      <c r="E507" s="62"/>
      <c r="F507" s="59"/>
    </row>
    <row r="508" spans="5:6" ht="12.75">
      <c r="E508" s="62"/>
      <c r="F508" s="59"/>
    </row>
    <row r="509" spans="5:6" ht="12.75">
      <c r="E509" s="62"/>
      <c r="F509" s="59"/>
    </row>
    <row r="510" spans="5:6" ht="12.75">
      <c r="E510" s="62"/>
      <c r="F510" s="59"/>
    </row>
    <row r="511" spans="5:6" ht="12.75">
      <c r="E511" s="62"/>
      <c r="F511" s="59"/>
    </row>
    <row r="512" spans="5:6" ht="12.75">
      <c r="E512" s="62"/>
      <c r="F512" s="59"/>
    </row>
  </sheetData>
  <mergeCells count="13">
    <mergeCell ref="A5:J5"/>
    <mergeCell ref="A6:J6"/>
    <mergeCell ref="G9:I9"/>
    <mergeCell ref="J9:J10"/>
    <mergeCell ref="A8:A10"/>
    <mergeCell ref="B8:B10"/>
    <mergeCell ref="C8:C10"/>
    <mergeCell ref="D8:D10"/>
    <mergeCell ref="E8:E10"/>
    <mergeCell ref="K8:K10"/>
    <mergeCell ref="A30:C30"/>
    <mergeCell ref="F8:J8"/>
    <mergeCell ref="F9:F10"/>
  </mergeCells>
  <printOptions/>
  <pageMargins left="0.28" right="0.21" top="0.69" bottom="0.55" header="0.24" footer="0.34"/>
  <pageSetup horizontalDpi="600" verticalDpi="600" orientation="landscape" paperSize="9" r:id="rId2"/>
  <headerFooter alignWithMargins="0">
    <oddFooter>&amp;CStrona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7"/>
  <dimension ref="A1:M65"/>
  <sheetViews>
    <sheetView workbookViewId="0" topLeftCell="A1">
      <selection activeCell="K11" sqref="K11"/>
    </sheetView>
  </sheetViews>
  <sheetFormatPr defaultColWidth="9.00390625" defaultRowHeight="12.75"/>
  <cols>
    <col min="1" max="1" width="4.125" style="1" customWidth="1"/>
    <col min="2" max="3" width="6.625" style="1" customWidth="1"/>
    <col min="4" max="4" width="2.375" style="1" customWidth="1"/>
    <col min="5" max="5" width="27.00390625" style="1" customWidth="1"/>
    <col min="6" max="6" width="11.375" style="70" customWidth="1"/>
    <col min="7" max="9" width="11.625" style="1" customWidth="1"/>
    <col min="10" max="10" width="10.00390625" style="1" customWidth="1"/>
    <col min="11" max="13" width="11.625" style="1" customWidth="1"/>
    <col min="14" max="16384" width="9.125" style="1" customWidth="1"/>
  </cols>
  <sheetData>
    <row r="1" spans="5:12" ht="16.5" customHeight="1">
      <c r="E1" s="156"/>
      <c r="F1" s="156"/>
      <c r="L1" s="157" t="s">
        <v>690</v>
      </c>
    </row>
    <row r="2" spans="5:12" ht="13.5" customHeight="1">
      <c r="E2" s="158"/>
      <c r="F2" s="158"/>
      <c r="L2" s="60" t="s">
        <v>761</v>
      </c>
    </row>
    <row r="3" spans="5:12" ht="15.75" customHeight="1">
      <c r="E3" s="158"/>
      <c r="F3" s="158"/>
      <c r="L3" s="60" t="s">
        <v>24</v>
      </c>
    </row>
    <row r="4" ht="3" customHeight="1"/>
    <row r="5" spans="1:12" s="159" customFormat="1" ht="16.5">
      <c r="A5" s="914" t="s">
        <v>691</v>
      </c>
      <c r="B5" s="914"/>
      <c r="C5" s="914"/>
      <c r="D5" s="914"/>
      <c r="E5" s="914"/>
      <c r="F5" s="914"/>
      <c r="G5" s="914"/>
      <c r="H5" s="914"/>
      <c r="I5" s="914"/>
      <c r="J5" s="914"/>
      <c r="K5" s="914"/>
      <c r="L5" s="914"/>
    </row>
    <row r="6" spans="1:12" s="159" customFormat="1" ht="15" customHeight="1">
      <c r="A6" s="914" t="s">
        <v>45</v>
      </c>
      <c r="B6" s="914"/>
      <c r="C6" s="914"/>
      <c r="D6" s="914"/>
      <c r="E6" s="914"/>
      <c r="F6" s="914"/>
      <c r="G6" s="914"/>
      <c r="H6" s="914"/>
      <c r="I6" s="914"/>
      <c r="J6" s="914"/>
      <c r="K6" s="914"/>
      <c r="L6" s="914"/>
    </row>
    <row r="7" ht="5.25" customHeight="1"/>
    <row r="8" spans="1:13" s="154" customFormat="1" ht="11.25" customHeight="1">
      <c r="A8" s="906" t="s">
        <v>585</v>
      </c>
      <c r="B8" s="906"/>
      <c r="C8" s="906"/>
      <c r="D8" s="908" t="s">
        <v>203</v>
      </c>
      <c r="E8" s="909"/>
      <c r="F8" s="893" t="s">
        <v>686</v>
      </c>
      <c r="G8" s="893" t="s">
        <v>183</v>
      </c>
      <c r="H8" s="935" t="s">
        <v>652</v>
      </c>
      <c r="I8" s="936"/>
      <c r="J8" s="936"/>
      <c r="K8" s="936"/>
      <c r="L8" s="936"/>
      <c r="M8" s="937"/>
    </row>
    <row r="9" spans="1:13" s="154" customFormat="1" ht="11.25" customHeight="1">
      <c r="A9" s="919" t="s">
        <v>295</v>
      </c>
      <c r="B9" s="919" t="s">
        <v>296</v>
      </c>
      <c r="C9" s="919" t="s">
        <v>392</v>
      </c>
      <c r="D9" s="910"/>
      <c r="E9" s="911"/>
      <c r="F9" s="894"/>
      <c r="G9" s="894"/>
      <c r="H9" s="826" t="s">
        <v>197</v>
      </c>
      <c r="I9" s="826" t="s">
        <v>655</v>
      </c>
      <c r="J9" s="826"/>
      <c r="K9" s="826"/>
      <c r="L9" s="826" t="s">
        <v>281</v>
      </c>
      <c r="M9" s="153" t="s">
        <v>724</v>
      </c>
    </row>
    <row r="10" spans="1:13" s="154" customFormat="1" ht="24.75" customHeight="1">
      <c r="A10" s="920"/>
      <c r="B10" s="920"/>
      <c r="C10" s="920"/>
      <c r="D10" s="912"/>
      <c r="E10" s="913"/>
      <c r="F10" s="895"/>
      <c r="G10" s="895"/>
      <c r="H10" s="826"/>
      <c r="I10" s="149" t="s">
        <v>689</v>
      </c>
      <c r="J10" s="149" t="s">
        <v>688</v>
      </c>
      <c r="K10" s="149" t="s">
        <v>182</v>
      </c>
      <c r="L10" s="826"/>
      <c r="M10" s="714" t="s">
        <v>182</v>
      </c>
    </row>
    <row r="11" spans="1:13" s="154" customFormat="1" ht="14.25" customHeight="1">
      <c r="A11" s="153">
        <v>1</v>
      </c>
      <c r="B11" s="153">
        <v>2</v>
      </c>
      <c r="C11" s="153">
        <v>3</v>
      </c>
      <c r="D11" s="906">
        <v>4</v>
      </c>
      <c r="E11" s="907"/>
      <c r="F11" s="155">
        <v>5</v>
      </c>
      <c r="G11" s="155">
        <v>6</v>
      </c>
      <c r="H11" s="155">
        <v>7</v>
      </c>
      <c r="I11" s="155">
        <v>8</v>
      </c>
      <c r="J11" s="155">
        <v>9</v>
      </c>
      <c r="K11" s="155">
        <v>10</v>
      </c>
      <c r="L11" s="155">
        <v>11</v>
      </c>
      <c r="M11" s="155">
        <v>12</v>
      </c>
    </row>
    <row r="12" spans="1:13" s="67" customFormat="1" ht="21" customHeight="1">
      <c r="A12" s="915">
        <v>600</v>
      </c>
      <c r="B12" s="915">
        <v>60014</v>
      </c>
      <c r="C12" s="917">
        <v>2310</v>
      </c>
      <c r="D12" s="898" t="s">
        <v>184</v>
      </c>
      <c r="E12" s="899"/>
      <c r="F12" s="562" t="s">
        <v>377</v>
      </c>
      <c r="G12" s="563">
        <v>149000</v>
      </c>
      <c r="H12" s="160">
        <v>149000</v>
      </c>
      <c r="I12" s="161">
        <v>0</v>
      </c>
      <c r="J12" s="162">
        <v>0</v>
      </c>
      <c r="K12" s="162">
        <v>149000</v>
      </c>
      <c r="L12" s="162">
        <v>0</v>
      </c>
      <c r="M12" s="738">
        <v>0</v>
      </c>
    </row>
    <row r="13" spans="1:13" s="67" customFormat="1" ht="12.75" customHeight="1">
      <c r="A13" s="916"/>
      <c r="B13" s="916"/>
      <c r="C13" s="918"/>
      <c r="D13" s="896" t="s">
        <v>187</v>
      </c>
      <c r="E13" s="897"/>
      <c r="F13" s="564"/>
      <c r="G13" s="564"/>
      <c r="H13" s="286"/>
      <c r="I13" s="287"/>
      <c r="J13" s="288"/>
      <c r="K13" s="288"/>
      <c r="L13" s="288"/>
      <c r="M13" s="739"/>
    </row>
    <row r="14" spans="1:13" s="67" customFormat="1" ht="12.75" customHeight="1">
      <c r="A14" s="916"/>
      <c r="B14" s="916"/>
      <c r="C14" s="918"/>
      <c r="D14" s="896" t="s">
        <v>723</v>
      </c>
      <c r="E14" s="897"/>
      <c r="F14" s="564"/>
      <c r="G14" s="564"/>
      <c r="H14" s="286"/>
      <c r="I14" s="287"/>
      <c r="J14" s="288"/>
      <c r="K14" s="288"/>
      <c r="L14" s="288"/>
      <c r="M14" s="739"/>
    </row>
    <row r="15" spans="1:13" s="67" customFormat="1" ht="12.75" customHeight="1">
      <c r="A15" s="916"/>
      <c r="B15" s="916"/>
      <c r="C15" s="918"/>
      <c r="D15" s="896" t="s">
        <v>186</v>
      </c>
      <c r="E15" s="897"/>
      <c r="F15" s="564"/>
      <c r="G15" s="564"/>
      <c r="H15" s="286"/>
      <c r="I15" s="287"/>
      <c r="J15" s="288"/>
      <c r="K15" s="288"/>
      <c r="L15" s="288"/>
      <c r="M15" s="739"/>
    </row>
    <row r="16" spans="1:13" s="67" customFormat="1" ht="12.75" customHeight="1">
      <c r="A16" s="916"/>
      <c r="B16" s="916"/>
      <c r="C16" s="918"/>
      <c r="D16" s="896" t="s">
        <v>185</v>
      </c>
      <c r="E16" s="897"/>
      <c r="F16" s="564"/>
      <c r="G16" s="564"/>
      <c r="H16" s="286"/>
      <c r="I16" s="287"/>
      <c r="J16" s="288"/>
      <c r="K16" s="288"/>
      <c r="L16" s="288"/>
      <c r="M16" s="739"/>
    </row>
    <row r="17" spans="1:13" s="67" customFormat="1" ht="10.5" customHeight="1">
      <c r="A17" s="916"/>
      <c r="B17" s="916"/>
      <c r="C17" s="918"/>
      <c r="D17" s="896" t="s">
        <v>46</v>
      </c>
      <c r="E17" s="897"/>
      <c r="F17" s="565"/>
      <c r="G17" s="565"/>
      <c r="H17" s="289"/>
      <c r="I17" s="290"/>
      <c r="J17" s="291"/>
      <c r="K17" s="291"/>
      <c r="L17" s="291"/>
      <c r="M17" s="740"/>
    </row>
    <row r="18" spans="1:13" s="106" customFormat="1" ht="33" customHeight="1">
      <c r="A18" s="459">
        <v>600</v>
      </c>
      <c r="B18" s="239">
        <v>60014</v>
      </c>
      <c r="C18" s="627">
        <v>2710</v>
      </c>
      <c r="D18" s="903" t="s">
        <v>107</v>
      </c>
      <c r="E18" s="904"/>
      <c r="F18" s="566">
        <v>1028762</v>
      </c>
      <c r="G18" s="566" t="s">
        <v>377</v>
      </c>
      <c r="H18" s="566" t="s">
        <v>377</v>
      </c>
      <c r="I18" s="566" t="s">
        <v>377</v>
      </c>
      <c r="J18" s="566" t="s">
        <v>377</v>
      </c>
      <c r="K18" s="566" t="s">
        <v>377</v>
      </c>
      <c r="L18" s="566" t="s">
        <v>377</v>
      </c>
      <c r="M18" s="566" t="s">
        <v>377</v>
      </c>
    </row>
    <row r="19" spans="1:13" s="106" customFormat="1" ht="12.75">
      <c r="A19" s="560"/>
      <c r="B19" s="609"/>
      <c r="C19" s="628"/>
      <c r="D19" s="610" t="s">
        <v>303</v>
      </c>
      <c r="E19" s="624" t="s">
        <v>109</v>
      </c>
      <c r="F19" s="930"/>
      <c r="G19" s="930"/>
      <c r="H19" s="925"/>
      <c r="I19" s="925"/>
      <c r="J19" s="925"/>
      <c r="K19" s="925"/>
      <c r="L19" s="925"/>
      <c r="M19" s="743"/>
    </row>
    <row r="20" spans="1:13" s="106" customFormat="1" ht="12.75">
      <c r="A20" s="560"/>
      <c r="B20" s="609"/>
      <c r="C20" s="628"/>
      <c r="D20" s="610" t="s">
        <v>304</v>
      </c>
      <c r="E20" s="624" t="s">
        <v>110</v>
      </c>
      <c r="F20" s="931"/>
      <c r="G20" s="931"/>
      <c r="H20" s="926"/>
      <c r="I20" s="926"/>
      <c r="J20" s="926"/>
      <c r="K20" s="926"/>
      <c r="L20" s="926"/>
      <c r="M20" s="744"/>
    </row>
    <row r="21" spans="1:13" s="106" customFormat="1" ht="12.75">
      <c r="A21" s="560"/>
      <c r="B21" s="609"/>
      <c r="C21" s="389">
        <v>4270</v>
      </c>
      <c r="D21" s="922" t="s">
        <v>757</v>
      </c>
      <c r="E21" s="923"/>
      <c r="F21" s="566">
        <v>0</v>
      </c>
      <c r="G21" s="566">
        <v>1028762</v>
      </c>
      <c r="H21" s="290">
        <v>1028762</v>
      </c>
      <c r="I21" s="290">
        <v>0</v>
      </c>
      <c r="J21" s="290">
        <v>0</v>
      </c>
      <c r="K21" s="290">
        <v>0</v>
      </c>
      <c r="L21" s="290">
        <v>0</v>
      </c>
      <c r="M21" s="290">
        <v>0</v>
      </c>
    </row>
    <row r="22" spans="1:13" s="106" customFormat="1" ht="57.75" customHeight="1">
      <c r="A22" s="459">
        <v>600</v>
      </c>
      <c r="B22" s="239">
        <v>60014</v>
      </c>
      <c r="C22" s="627">
        <v>6300</v>
      </c>
      <c r="D22" s="903" t="s">
        <v>103</v>
      </c>
      <c r="E22" s="904"/>
      <c r="F22" s="566">
        <v>914500</v>
      </c>
      <c r="G22" s="566" t="s">
        <v>377</v>
      </c>
      <c r="H22" s="566" t="s">
        <v>377</v>
      </c>
      <c r="I22" s="566" t="s">
        <v>377</v>
      </c>
      <c r="J22" s="566" t="s">
        <v>377</v>
      </c>
      <c r="K22" s="566" t="s">
        <v>377</v>
      </c>
      <c r="L22" s="566" t="s">
        <v>377</v>
      </c>
      <c r="M22" s="566" t="s">
        <v>377</v>
      </c>
    </row>
    <row r="23" spans="1:13" s="106" customFormat="1" ht="12" customHeight="1">
      <c r="A23" s="560"/>
      <c r="B23" s="609"/>
      <c r="C23" s="628"/>
      <c r="D23" s="626" t="s">
        <v>303</v>
      </c>
      <c r="E23" s="610" t="s">
        <v>100</v>
      </c>
      <c r="F23" s="930"/>
      <c r="G23" s="930"/>
      <c r="H23" s="925"/>
      <c r="I23" s="925"/>
      <c r="J23" s="925"/>
      <c r="K23" s="925"/>
      <c r="L23" s="925"/>
      <c r="M23" s="743"/>
    </row>
    <row r="24" spans="1:13" s="106" customFormat="1" ht="12.75" customHeight="1">
      <c r="A24" s="560"/>
      <c r="B24" s="609"/>
      <c r="C24" s="628"/>
      <c r="D24" s="626" t="s">
        <v>304</v>
      </c>
      <c r="E24" s="610" t="s">
        <v>101</v>
      </c>
      <c r="F24" s="938"/>
      <c r="G24" s="938"/>
      <c r="H24" s="934"/>
      <c r="I24" s="934"/>
      <c r="J24" s="934"/>
      <c r="K24" s="934"/>
      <c r="L24" s="934"/>
      <c r="M24" s="745"/>
    </row>
    <row r="25" spans="1:13" s="106" customFormat="1" ht="12.75" customHeight="1">
      <c r="A25" s="560"/>
      <c r="B25" s="609"/>
      <c r="C25" s="628"/>
      <c r="D25" s="626" t="s">
        <v>305</v>
      </c>
      <c r="E25" s="610" t="s">
        <v>102</v>
      </c>
      <c r="F25" s="931"/>
      <c r="G25" s="931"/>
      <c r="H25" s="926"/>
      <c r="I25" s="926"/>
      <c r="J25" s="926"/>
      <c r="K25" s="926"/>
      <c r="L25" s="926"/>
      <c r="M25" s="744"/>
    </row>
    <row r="26" spans="1:13" s="106" customFormat="1" ht="21.75" customHeight="1">
      <c r="A26" s="560"/>
      <c r="B26" s="609"/>
      <c r="C26" s="389">
        <v>6050</v>
      </c>
      <c r="D26" s="922" t="s">
        <v>758</v>
      </c>
      <c r="E26" s="923"/>
      <c r="F26" s="566" t="s">
        <v>377</v>
      </c>
      <c r="G26" s="566">
        <v>914500</v>
      </c>
      <c r="H26" s="290">
        <v>0</v>
      </c>
      <c r="I26" s="290">
        <v>0</v>
      </c>
      <c r="J26" s="290">
        <v>0</v>
      </c>
      <c r="K26" s="290">
        <v>0</v>
      </c>
      <c r="L26" s="290">
        <v>914500</v>
      </c>
      <c r="M26" s="292">
        <v>0</v>
      </c>
    </row>
    <row r="27" spans="1:13" s="106" customFormat="1" ht="47.25" customHeight="1">
      <c r="A27" s="728">
        <v>600</v>
      </c>
      <c r="B27" s="258">
        <v>60014</v>
      </c>
      <c r="C27" s="581">
        <v>6309</v>
      </c>
      <c r="D27" s="903" t="s">
        <v>108</v>
      </c>
      <c r="E27" s="904"/>
      <c r="F27" s="367">
        <v>2992094</v>
      </c>
      <c r="G27" s="367" t="s">
        <v>377</v>
      </c>
      <c r="H27" s="292" t="s">
        <v>377</v>
      </c>
      <c r="I27" s="292" t="s">
        <v>377</v>
      </c>
      <c r="J27" s="292" t="s">
        <v>377</v>
      </c>
      <c r="K27" s="292" t="s">
        <v>377</v>
      </c>
      <c r="L27" s="292" t="s">
        <v>377</v>
      </c>
      <c r="M27" s="292" t="s">
        <v>377</v>
      </c>
    </row>
    <row r="28" spans="1:13" s="106" customFormat="1" ht="33.75">
      <c r="A28" s="459">
        <v>600</v>
      </c>
      <c r="B28" s="239">
        <v>60014</v>
      </c>
      <c r="C28" s="627">
        <v>6309</v>
      </c>
      <c r="D28" s="610">
        <v>1</v>
      </c>
      <c r="E28" s="729" t="s">
        <v>104</v>
      </c>
      <c r="F28" s="563"/>
      <c r="G28" s="563"/>
      <c r="H28" s="160"/>
      <c r="I28" s="161"/>
      <c r="J28" s="162"/>
      <c r="K28" s="162"/>
      <c r="L28" s="162"/>
      <c r="M28" s="743"/>
    </row>
    <row r="29" spans="1:13" s="106" customFormat="1" ht="45" customHeight="1">
      <c r="A29" s="459"/>
      <c r="B29" s="239"/>
      <c r="C29" s="627"/>
      <c r="D29" s="610">
        <v>2</v>
      </c>
      <c r="E29" s="729" t="s">
        <v>105</v>
      </c>
      <c r="F29" s="567"/>
      <c r="G29" s="567"/>
      <c r="H29" s="286"/>
      <c r="I29" s="287"/>
      <c r="J29" s="288"/>
      <c r="K29" s="288"/>
      <c r="L29" s="288"/>
      <c r="M29" s="745"/>
    </row>
    <row r="30" spans="1:13" s="106" customFormat="1" ht="45">
      <c r="A30" s="560"/>
      <c r="B30" s="609"/>
      <c r="C30" s="628"/>
      <c r="D30" s="610">
        <v>3</v>
      </c>
      <c r="E30" s="729" t="s">
        <v>106</v>
      </c>
      <c r="F30" s="637"/>
      <c r="G30" s="637"/>
      <c r="H30" s="289"/>
      <c r="I30" s="290"/>
      <c r="J30" s="291"/>
      <c r="K30" s="291"/>
      <c r="L30" s="291"/>
      <c r="M30" s="744"/>
    </row>
    <row r="31" spans="1:13" s="106" customFormat="1" ht="24.75" customHeight="1">
      <c r="A31" s="561"/>
      <c r="B31" s="240"/>
      <c r="C31" s="389">
        <v>6059</v>
      </c>
      <c r="D31" s="922" t="s">
        <v>758</v>
      </c>
      <c r="E31" s="923"/>
      <c r="F31" s="566" t="s">
        <v>377</v>
      </c>
      <c r="G31" s="566">
        <v>2992094</v>
      </c>
      <c r="H31" s="290">
        <v>0</v>
      </c>
      <c r="I31" s="290">
        <v>0</v>
      </c>
      <c r="J31" s="290">
        <v>0</v>
      </c>
      <c r="K31" s="290">
        <v>0</v>
      </c>
      <c r="L31" s="290">
        <v>2992094</v>
      </c>
      <c r="M31" s="290">
        <v>0</v>
      </c>
    </row>
    <row r="32" spans="1:13" s="106" customFormat="1" ht="24" customHeight="1">
      <c r="A32" s="560">
        <v>630</v>
      </c>
      <c r="B32" s="609">
        <v>63003</v>
      </c>
      <c r="C32" s="628">
        <v>6619</v>
      </c>
      <c r="D32" s="901" t="s">
        <v>52</v>
      </c>
      <c r="E32" s="902"/>
      <c r="F32" s="591">
        <v>70000</v>
      </c>
      <c r="G32" s="591" t="s">
        <v>377</v>
      </c>
      <c r="H32" s="591" t="s">
        <v>377</v>
      </c>
      <c r="I32" s="591" t="s">
        <v>377</v>
      </c>
      <c r="J32" s="591" t="s">
        <v>377</v>
      </c>
      <c r="K32" s="591" t="s">
        <v>377</v>
      </c>
      <c r="L32" s="591" t="s">
        <v>377</v>
      </c>
      <c r="M32" s="367" t="s">
        <v>377</v>
      </c>
    </row>
    <row r="33" spans="1:13" s="106" customFormat="1" ht="12.75" customHeight="1">
      <c r="A33" s="560"/>
      <c r="B33" s="609"/>
      <c r="C33" s="628"/>
      <c r="D33" s="629">
        <v>1</v>
      </c>
      <c r="E33" s="383" t="s">
        <v>53</v>
      </c>
      <c r="F33" s="563"/>
      <c r="G33" s="563"/>
      <c r="H33" s="160"/>
      <c r="I33" s="161"/>
      <c r="J33" s="162"/>
      <c r="K33" s="162"/>
      <c r="L33" s="162"/>
      <c r="M33" s="743"/>
    </row>
    <row r="34" spans="1:13" s="106" customFormat="1" ht="12.75" customHeight="1">
      <c r="A34" s="560"/>
      <c r="B34" s="609"/>
      <c r="C34" s="628"/>
      <c r="D34" s="629">
        <v>2</v>
      </c>
      <c r="E34" s="383" t="s">
        <v>54</v>
      </c>
      <c r="F34" s="567"/>
      <c r="G34" s="567"/>
      <c r="H34" s="286"/>
      <c r="I34" s="287"/>
      <c r="J34" s="288"/>
      <c r="K34" s="288"/>
      <c r="L34" s="288"/>
      <c r="M34" s="745"/>
    </row>
    <row r="35" spans="1:13" s="106" customFormat="1" ht="12.75" customHeight="1">
      <c r="A35" s="560"/>
      <c r="B35" s="609"/>
      <c r="C35" s="628"/>
      <c r="D35" s="629">
        <v>3</v>
      </c>
      <c r="E35" s="383" t="s">
        <v>55</v>
      </c>
      <c r="F35" s="637"/>
      <c r="G35" s="637"/>
      <c r="H35" s="289"/>
      <c r="I35" s="290"/>
      <c r="J35" s="291"/>
      <c r="K35" s="291"/>
      <c r="L35" s="291"/>
      <c r="M35" s="744"/>
    </row>
    <row r="36" spans="1:13" s="106" customFormat="1" ht="24.75" customHeight="1">
      <c r="A36" s="543">
        <v>630</v>
      </c>
      <c r="B36" s="241">
        <v>63003</v>
      </c>
      <c r="C36" s="631">
        <v>6639</v>
      </c>
      <c r="D36" s="900" t="s">
        <v>86</v>
      </c>
      <c r="E36" s="900"/>
      <c r="F36" s="567" t="s">
        <v>377</v>
      </c>
      <c r="G36" s="567">
        <v>101270</v>
      </c>
      <c r="H36" s="633">
        <v>0</v>
      </c>
      <c r="I36" s="634">
        <v>0</v>
      </c>
      <c r="J36" s="635">
        <v>0</v>
      </c>
      <c r="K36" s="635">
        <v>0</v>
      </c>
      <c r="L36" s="635">
        <v>101270</v>
      </c>
      <c r="M36" s="630">
        <v>101270</v>
      </c>
    </row>
    <row r="37" spans="1:13" s="106" customFormat="1" ht="21.75" customHeight="1">
      <c r="A37" s="640"/>
      <c r="B37" s="296"/>
      <c r="C37" s="641"/>
      <c r="D37" s="632">
        <v>1</v>
      </c>
      <c r="E37" s="625" t="s">
        <v>85</v>
      </c>
      <c r="F37" s="567"/>
      <c r="G37" s="567"/>
      <c r="H37" s="633"/>
      <c r="I37" s="634"/>
      <c r="J37" s="635"/>
      <c r="K37" s="635"/>
      <c r="L37" s="635"/>
      <c r="M37" s="745"/>
    </row>
    <row r="38" spans="1:13" s="106" customFormat="1" ht="53.25" customHeight="1">
      <c r="A38" s="583"/>
      <c r="B38" s="556"/>
      <c r="C38" s="636"/>
      <c r="D38" s="632">
        <v>2</v>
      </c>
      <c r="E38" s="625" t="s">
        <v>87</v>
      </c>
      <c r="F38" s="637"/>
      <c r="G38" s="637"/>
      <c r="H38" s="638"/>
      <c r="I38" s="573"/>
      <c r="J38" s="639"/>
      <c r="K38" s="639"/>
      <c r="L38" s="639"/>
      <c r="M38" s="744"/>
    </row>
    <row r="39" spans="1:13" s="68" customFormat="1" ht="57" customHeight="1">
      <c r="A39" s="240">
        <v>750</v>
      </c>
      <c r="B39" s="240">
        <v>75018</v>
      </c>
      <c r="C39" s="240">
        <v>2330</v>
      </c>
      <c r="D39" s="898" t="s">
        <v>586</v>
      </c>
      <c r="E39" s="898"/>
      <c r="F39" s="568" t="s">
        <v>377</v>
      </c>
      <c r="G39" s="566">
        <v>6000</v>
      </c>
      <c r="H39" s="290">
        <v>6000</v>
      </c>
      <c r="I39" s="290">
        <v>0</v>
      </c>
      <c r="J39" s="290">
        <v>0</v>
      </c>
      <c r="K39" s="290">
        <v>6000</v>
      </c>
      <c r="L39" s="290">
        <v>0</v>
      </c>
      <c r="M39" s="290">
        <v>0</v>
      </c>
    </row>
    <row r="40" spans="1:13" ht="33.75" customHeight="1">
      <c r="A40" s="239">
        <v>852</v>
      </c>
      <c r="B40" s="239">
        <v>85201</v>
      </c>
      <c r="C40" s="239">
        <v>2310</v>
      </c>
      <c r="D40" s="898" t="s">
        <v>188</v>
      </c>
      <c r="E40" s="924"/>
      <c r="F40" s="563">
        <v>31672</v>
      </c>
      <c r="G40" s="563" t="s">
        <v>377</v>
      </c>
      <c r="H40" s="160" t="s">
        <v>377</v>
      </c>
      <c r="I40" s="161" t="s">
        <v>377</v>
      </c>
      <c r="J40" s="162" t="s">
        <v>377</v>
      </c>
      <c r="K40" s="162" t="s">
        <v>377</v>
      </c>
      <c r="L40" s="162" t="s">
        <v>377</v>
      </c>
      <c r="M40" s="161" t="s">
        <v>377</v>
      </c>
    </row>
    <row r="41" spans="1:13" ht="12.75">
      <c r="A41" s="240"/>
      <c r="B41" s="240"/>
      <c r="C41" s="240"/>
      <c r="D41" s="384">
        <v>1</v>
      </c>
      <c r="E41" s="294" t="s">
        <v>60</v>
      </c>
      <c r="F41" s="565"/>
      <c r="G41" s="565"/>
      <c r="H41" s="289"/>
      <c r="I41" s="290"/>
      <c r="J41" s="291"/>
      <c r="K41" s="291"/>
      <c r="L41" s="291"/>
      <c r="M41" s="746"/>
    </row>
    <row r="42" spans="1:13" ht="12.75" customHeight="1">
      <c r="A42" s="258"/>
      <c r="B42" s="258"/>
      <c r="C42" s="258">
        <v>4010</v>
      </c>
      <c r="D42" s="932" t="s">
        <v>759</v>
      </c>
      <c r="E42" s="933"/>
      <c r="F42" s="732" t="s">
        <v>377</v>
      </c>
      <c r="G42" s="732">
        <v>31672</v>
      </c>
      <c r="H42" s="730">
        <v>31672</v>
      </c>
      <c r="I42" s="292">
        <v>31672</v>
      </c>
      <c r="J42" s="731">
        <v>0</v>
      </c>
      <c r="K42" s="292">
        <v>0</v>
      </c>
      <c r="L42" s="731">
        <v>0</v>
      </c>
      <c r="M42" s="731">
        <v>0</v>
      </c>
    </row>
    <row r="43" spans="1:13" ht="34.5" customHeight="1">
      <c r="A43" s="915">
        <v>852</v>
      </c>
      <c r="B43" s="915">
        <v>85201</v>
      </c>
      <c r="C43" s="915">
        <v>2310</v>
      </c>
      <c r="D43" s="905" t="s">
        <v>732</v>
      </c>
      <c r="E43" s="901"/>
      <c r="F43" s="563" t="s">
        <v>377</v>
      </c>
      <c r="G43" s="563">
        <v>9760</v>
      </c>
      <c r="H43" s="160">
        <v>9760</v>
      </c>
      <c r="I43" s="161">
        <v>0</v>
      </c>
      <c r="J43" s="162">
        <v>0</v>
      </c>
      <c r="K43" s="162">
        <v>9760</v>
      </c>
      <c r="L43" s="161">
        <v>0</v>
      </c>
      <c r="M43" s="162">
        <v>0</v>
      </c>
    </row>
    <row r="44" spans="1:13" ht="16.5" customHeight="1">
      <c r="A44" s="921"/>
      <c r="B44" s="921"/>
      <c r="C44" s="921"/>
      <c r="D44" s="385">
        <v>1</v>
      </c>
      <c r="E44" s="386" t="s">
        <v>47</v>
      </c>
      <c r="F44" s="637"/>
      <c r="G44" s="637"/>
      <c r="H44" s="289"/>
      <c r="I44" s="290"/>
      <c r="J44" s="291"/>
      <c r="K44" s="291"/>
      <c r="L44" s="290"/>
      <c r="M44" s="747"/>
    </row>
    <row r="45" spans="1:13" ht="34.5" customHeight="1">
      <c r="A45" s="915">
        <v>852</v>
      </c>
      <c r="B45" s="915">
        <v>85201</v>
      </c>
      <c r="C45" s="915">
        <v>2310</v>
      </c>
      <c r="D45" s="905" t="s">
        <v>733</v>
      </c>
      <c r="E45" s="901"/>
      <c r="F45" s="563" t="s">
        <v>377</v>
      </c>
      <c r="G45" s="563">
        <v>11580</v>
      </c>
      <c r="H45" s="160">
        <v>11580</v>
      </c>
      <c r="I45" s="161">
        <v>0</v>
      </c>
      <c r="J45" s="162">
        <v>0</v>
      </c>
      <c r="K45" s="162">
        <v>11580</v>
      </c>
      <c r="L45" s="161">
        <v>0</v>
      </c>
      <c r="M45" s="162">
        <v>0</v>
      </c>
    </row>
    <row r="46" spans="1:13" ht="13.5" customHeight="1">
      <c r="A46" s="921"/>
      <c r="B46" s="921"/>
      <c r="C46" s="921"/>
      <c r="D46" s="380">
        <v>1</v>
      </c>
      <c r="E46" s="381" t="s">
        <v>134</v>
      </c>
      <c r="F46" s="565"/>
      <c r="G46" s="565"/>
      <c r="H46" s="166"/>
      <c r="I46" s="167"/>
      <c r="J46" s="168"/>
      <c r="K46" s="168"/>
      <c r="L46" s="167"/>
      <c r="M46" s="747"/>
    </row>
    <row r="47" spans="1:13" ht="55.5" customHeight="1">
      <c r="A47" s="258">
        <v>852</v>
      </c>
      <c r="B47" s="258">
        <v>85201</v>
      </c>
      <c r="C47" s="258">
        <v>2320</v>
      </c>
      <c r="D47" s="898" t="s">
        <v>191</v>
      </c>
      <c r="E47" s="929"/>
      <c r="F47" s="568"/>
      <c r="G47" s="566">
        <v>933906</v>
      </c>
      <c r="H47" s="290">
        <v>933906</v>
      </c>
      <c r="I47" s="290">
        <v>0</v>
      </c>
      <c r="J47" s="290">
        <v>0</v>
      </c>
      <c r="K47" s="290">
        <v>933906</v>
      </c>
      <c r="L47" s="290">
        <v>0</v>
      </c>
      <c r="M47" s="290">
        <v>0</v>
      </c>
    </row>
    <row r="48" spans="1:13" ht="35.25" customHeight="1">
      <c r="A48" s="258">
        <v>852</v>
      </c>
      <c r="B48" s="258">
        <v>85204</v>
      </c>
      <c r="C48" s="258">
        <v>2310</v>
      </c>
      <c r="D48" s="898" t="s">
        <v>613</v>
      </c>
      <c r="E48" s="929"/>
      <c r="F48" s="536" t="s">
        <v>377</v>
      </c>
      <c r="G48" s="367">
        <v>10470</v>
      </c>
      <c r="H48" s="292">
        <v>10470</v>
      </c>
      <c r="I48" s="292">
        <v>0</v>
      </c>
      <c r="J48" s="292">
        <v>0</v>
      </c>
      <c r="K48" s="292">
        <v>10470</v>
      </c>
      <c r="L48" s="292">
        <v>0</v>
      </c>
      <c r="M48" s="292">
        <v>0</v>
      </c>
    </row>
    <row r="49" spans="1:13" ht="33" customHeight="1">
      <c r="A49" s="915">
        <v>852</v>
      </c>
      <c r="B49" s="915">
        <v>85204</v>
      </c>
      <c r="C49" s="915">
        <v>2320</v>
      </c>
      <c r="D49" s="905" t="s">
        <v>192</v>
      </c>
      <c r="E49" s="901"/>
      <c r="F49" s="562" t="s">
        <v>377</v>
      </c>
      <c r="G49" s="563">
        <v>73280</v>
      </c>
      <c r="H49" s="160">
        <v>73280</v>
      </c>
      <c r="I49" s="161">
        <v>0</v>
      </c>
      <c r="J49" s="162">
        <v>0</v>
      </c>
      <c r="K49" s="162">
        <v>73280</v>
      </c>
      <c r="L49" s="162">
        <v>0</v>
      </c>
      <c r="M49" s="748">
        <v>0</v>
      </c>
    </row>
    <row r="50" spans="1:13" ht="12" customHeight="1">
      <c r="A50" s="916"/>
      <c r="B50" s="916"/>
      <c r="C50" s="916"/>
      <c r="D50" s="382">
        <v>1</v>
      </c>
      <c r="E50" s="383" t="s">
        <v>48</v>
      </c>
      <c r="F50" s="564"/>
      <c r="G50" s="569"/>
      <c r="H50" s="163"/>
      <c r="I50" s="164"/>
      <c r="J50" s="165"/>
      <c r="K50" s="165"/>
      <c r="L50" s="165"/>
      <c r="M50" s="749"/>
    </row>
    <row r="51" spans="1:13" ht="12" customHeight="1">
      <c r="A51" s="916"/>
      <c r="B51" s="916"/>
      <c r="C51" s="916"/>
      <c r="D51" s="382">
        <v>2</v>
      </c>
      <c r="E51" s="383" t="s">
        <v>51</v>
      </c>
      <c r="F51" s="564"/>
      <c r="G51" s="569"/>
      <c r="H51" s="163"/>
      <c r="I51" s="164"/>
      <c r="J51" s="165"/>
      <c r="K51" s="165"/>
      <c r="L51" s="165"/>
      <c r="M51" s="749"/>
    </row>
    <row r="52" spans="1:13" ht="12" customHeight="1">
      <c r="A52" s="916"/>
      <c r="B52" s="916"/>
      <c r="C52" s="916"/>
      <c r="D52" s="382">
        <v>3</v>
      </c>
      <c r="E52" s="383" t="s">
        <v>50</v>
      </c>
      <c r="F52" s="564"/>
      <c r="G52" s="569"/>
      <c r="H52" s="163"/>
      <c r="I52" s="164"/>
      <c r="J52" s="165"/>
      <c r="K52" s="165"/>
      <c r="L52" s="165"/>
      <c r="M52" s="749"/>
    </row>
    <row r="53" spans="1:13" ht="12" customHeight="1">
      <c r="A53" s="916"/>
      <c r="B53" s="916"/>
      <c r="C53" s="916"/>
      <c r="D53" s="382">
        <v>4</v>
      </c>
      <c r="E53" s="383" t="s">
        <v>734</v>
      </c>
      <c r="F53" s="564"/>
      <c r="G53" s="569"/>
      <c r="H53" s="163"/>
      <c r="I53" s="164"/>
      <c r="J53" s="165"/>
      <c r="K53" s="165"/>
      <c r="L53" s="165"/>
      <c r="M53" s="749"/>
    </row>
    <row r="54" spans="1:13" ht="12" customHeight="1">
      <c r="A54" s="921"/>
      <c r="B54" s="921"/>
      <c r="C54" s="921"/>
      <c r="D54" s="382">
        <v>5</v>
      </c>
      <c r="E54" s="383" t="s">
        <v>49</v>
      </c>
      <c r="F54" s="565"/>
      <c r="G54" s="570"/>
      <c r="H54" s="166"/>
      <c r="I54" s="167"/>
      <c r="J54" s="168"/>
      <c r="K54" s="168"/>
      <c r="L54" s="168"/>
      <c r="M54" s="746"/>
    </row>
    <row r="55" spans="1:13" ht="23.25" customHeight="1">
      <c r="A55" s="915">
        <v>852</v>
      </c>
      <c r="B55" s="915">
        <v>85204</v>
      </c>
      <c r="C55" s="915">
        <v>2310</v>
      </c>
      <c r="D55" s="898" t="s">
        <v>189</v>
      </c>
      <c r="E55" s="899"/>
      <c r="F55" s="563">
        <v>4165</v>
      </c>
      <c r="G55" s="563" t="s">
        <v>377</v>
      </c>
      <c r="H55" s="735" t="s">
        <v>377</v>
      </c>
      <c r="I55" s="736" t="s">
        <v>377</v>
      </c>
      <c r="J55" s="737" t="s">
        <v>377</v>
      </c>
      <c r="K55" s="737" t="s">
        <v>377</v>
      </c>
      <c r="L55" s="737" t="s">
        <v>377</v>
      </c>
      <c r="M55" s="736" t="s">
        <v>377</v>
      </c>
    </row>
    <row r="56" spans="1:13" ht="12.75">
      <c r="A56" s="916"/>
      <c r="B56" s="916"/>
      <c r="C56" s="916"/>
      <c r="D56" s="733">
        <v>1</v>
      </c>
      <c r="E56" s="734" t="s">
        <v>56</v>
      </c>
      <c r="F56" s="564"/>
      <c r="G56" s="564"/>
      <c r="H56" s="286"/>
      <c r="I56" s="287"/>
      <c r="J56" s="288"/>
      <c r="K56" s="288"/>
      <c r="L56" s="288"/>
      <c r="M56" s="746"/>
    </row>
    <row r="57" spans="1:13" ht="12.75">
      <c r="A57" s="609"/>
      <c r="B57" s="609"/>
      <c r="C57" s="258">
        <v>3110</v>
      </c>
      <c r="D57" s="932" t="s">
        <v>760</v>
      </c>
      <c r="E57" s="933"/>
      <c r="F57" s="732" t="s">
        <v>377</v>
      </c>
      <c r="G57" s="732">
        <v>4165</v>
      </c>
      <c r="H57" s="730">
        <v>4165</v>
      </c>
      <c r="I57" s="292">
        <v>0</v>
      </c>
      <c r="J57" s="731">
        <v>0</v>
      </c>
      <c r="K57" s="731">
        <v>0</v>
      </c>
      <c r="L57" s="731">
        <v>0</v>
      </c>
      <c r="M57" s="731">
        <v>0</v>
      </c>
    </row>
    <row r="58" spans="1:13" ht="23.25" customHeight="1">
      <c r="A58" s="915">
        <v>852</v>
      </c>
      <c r="B58" s="915">
        <v>85204</v>
      </c>
      <c r="C58" s="915">
        <v>2320</v>
      </c>
      <c r="D58" s="898" t="s">
        <v>189</v>
      </c>
      <c r="E58" s="899"/>
      <c r="F58" s="563">
        <v>127548</v>
      </c>
      <c r="G58" s="563" t="s">
        <v>377</v>
      </c>
      <c r="H58" s="735" t="s">
        <v>377</v>
      </c>
      <c r="I58" s="736" t="s">
        <v>377</v>
      </c>
      <c r="J58" s="737" t="s">
        <v>377</v>
      </c>
      <c r="K58" s="737" t="s">
        <v>377</v>
      </c>
      <c r="L58" s="737" t="s">
        <v>377</v>
      </c>
      <c r="M58" s="736" t="s">
        <v>377</v>
      </c>
    </row>
    <row r="59" spans="1:13" ht="12" customHeight="1">
      <c r="A59" s="916"/>
      <c r="B59" s="916"/>
      <c r="C59" s="916"/>
      <c r="D59" s="293">
        <v>1</v>
      </c>
      <c r="E59" s="294" t="s">
        <v>190</v>
      </c>
      <c r="F59" s="564"/>
      <c r="G59" s="571"/>
      <c r="H59" s="163"/>
      <c r="I59" s="164"/>
      <c r="J59" s="165"/>
      <c r="K59" s="165"/>
      <c r="L59" s="165"/>
      <c r="M59" s="749"/>
    </row>
    <row r="60" spans="1:13" ht="12" customHeight="1">
      <c r="A60" s="916"/>
      <c r="B60" s="916"/>
      <c r="C60" s="916"/>
      <c r="D60" s="293">
        <v>2</v>
      </c>
      <c r="E60" s="294" t="s">
        <v>57</v>
      </c>
      <c r="F60" s="564"/>
      <c r="G60" s="571"/>
      <c r="H60" s="163"/>
      <c r="I60" s="164"/>
      <c r="J60" s="165"/>
      <c r="K60" s="165"/>
      <c r="L60" s="165"/>
      <c r="M60" s="749"/>
    </row>
    <row r="61" spans="1:13" ht="12" customHeight="1">
      <c r="A61" s="916"/>
      <c r="B61" s="916"/>
      <c r="C61" s="916"/>
      <c r="D61" s="293">
        <v>3</v>
      </c>
      <c r="E61" s="294" t="s">
        <v>59</v>
      </c>
      <c r="F61" s="564"/>
      <c r="G61" s="571"/>
      <c r="H61" s="163"/>
      <c r="I61" s="164"/>
      <c r="J61" s="165"/>
      <c r="K61" s="165"/>
      <c r="L61" s="165"/>
      <c r="M61" s="749"/>
    </row>
    <row r="62" spans="1:13" ht="12" customHeight="1">
      <c r="A62" s="921"/>
      <c r="B62" s="921"/>
      <c r="C62" s="921"/>
      <c r="D62" s="293">
        <v>4</v>
      </c>
      <c r="E62" s="294" t="s">
        <v>58</v>
      </c>
      <c r="F62" s="565"/>
      <c r="G62" s="572"/>
      <c r="H62" s="166"/>
      <c r="I62" s="167"/>
      <c r="J62" s="168"/>
      <c r="K62" s="168"/>
      <c r="L62" s="168"/>
      <c r="M62" s="746"/>
    </row>
    <row r="63" spans="1:13" ht="18" customHeight="1">
      <c r="A63" s="258">
        <v>852</v>
      </c>
      <c r="B63" s="258">
        <v>85204</v>
      </c>
      <c r="C63" s="258">
        <v>3110</v>
      </c>
      <c r="D63" s="932" t="s">
        <v>760</v>
      </c>
      <c r="E63" s="933"/>
      <c r="F63" s="732" t="s">
        <v>377</v>
      </c>
      <c r="G63" s="732">
        <v>127548</v>
      </c>
      <c r="H63" s="730">
        <v>127548</v>
      </c>
      <c r="I63" s="292">
        <v>0</v>
      </c>
      <c r="J63" s="731">
        <v>0</v>
      </c>
      <c r="K63" s="731">
        <v>0</v>
      </c>
      <c r="L63" s="731">
        <v>0</v>
      </c>
      <c r="M63" s="731">
        <v>0</v>
      </c>
    </row>
    <row r="64" spans="1:13" ht="42" customHeight="1">
      <c r="A64" s="240">
        <v>921</v>
      </c>
      <c r="B64" s="240">
        <v>92116</v>
      </c>
      <c r="C64" s="240">
        <v>2310</v>
      </c>
      <c r="D64" s="927" t="s">
        <v>587</v>
      </c>
      <c r="E64" s="927"/>
      <c r="F64" s="573" t="s">
        <v>377</v>
      </c>
      <c r="G64" s="574">
        <v>54000</v>
      </c>
      <c r="H64" s="290">
        <v>54000</v>
      </c>
      <c r="I64" s="290">
        <v>0</v>
      </c>
      <c r="J64" s="290">
        <v>0</v>
      </c>
      <c r="K64" s="290">
        <v>54000</v>
      </c>
      <c r="L64" s="290">
        <v>0</v>
      </c>
      <c r="M64" s="290">
        <v>0</v>
      </c>
    </row>
    <row r="65" spans="1:13" ht="15.75">
      <c r="A65" s="928" t="s">
        <v>366</v>
      </c>
      <c r="B65" s="928"/>
      <c r="C65" s="928"/>
      <c r="D65" s="928"/>
      <c r="E65" s="928"/>
      <c r="F65" s="235">
        <f aca="true" t="shared" si="0" ref="F65:M65">SUM(F12:F64)</f>
        <v>5168741</v>
      </c>
      <c r="G65" s="235">
        <f t="shared" si="0"/>
        <v>6448007</v>
      </c>
      <c r="H65" s="235">
        <f t="shared" si="0"/>
        <v>2440143</v>
      </c>
      <c r="I65" s="235">
        <f t="shared" si="0"/>
        <v>31672</v>
      </c>
      <c r="J65" s="235">
        <f t="shared" si="0"/>
        <v>0</v>
      </c>
      <c r="K65" s="235">
        <f t="shared" si="0"/>
        <v>1247996</v>
      </c>
      <c r="L65" s="235">
        <f t="shared" si="0"/>
        <v>4007864</v>
      </c>
      <c r="M65" s="235">
        <f t="shared" si="0"/>
        <v>101270</v>
      </c>
    </row>
  </sheetData>
  <mergeCells count="74">
    <mergeCell ref="D57:E57"/>
    <mergeCell ref="D63:E63"/>
    <mergeCell ref="H8:M8"/>
    <mergeCell ref="J23:J25"/>
    <mergeCell ref="K23:K25"/>
    <mergeCell ref="L23:L25"/>
    <mergeCell ref="D31:E31"/>
    <mergeCell ref="F23:F25"/>
    <mergeCell ref="G23:G25"/>
    <mergeCell ref="I23:I25"/>
    <mergeCell ref="I19:I20"/>
    <mergeCell ref="J19:J20"/>
    <mergeCell ref="D42:E42"/>
    <mergeCell ref="K19:K20"/>
    <mergeCell ref="G19:G20"/>
    <mergeCell ref="H19:H20"/>
    <mergeCell ref="H23:H25"/>
    <mergeCell ref="L19:L20"/>
    <mergeCell ref="D64:E64"/>
    <mergeCell ref="A65:E65"/>
    <mergeCell ref="A58:A62"/>
    <mergeCell ref="B58:B62"/>
    <mergeCell ref="C58:C62"/>
    <mergeCell ref="D58:E58"/>
    <mergeCell ref="D47:E47"/>
    <mergeCell ref="D48:E48"/>
    <mergeCell ref="F19:F20"/>
    <mergeCell ref="D18:E18"/>
    <mergeCell ref="A45:A46"/>
    <mergeCell ref="B45:B46"/>
    <mergeCell ref="C45:C46"/>
    <mergeCell ref="D45:E45"/>
    <mergeCell ref="D43:E43"/>
    <mergeCell ref="D27:E27"/>
    <mergeCell ref="D21:E21"/>
    <mergeCell ref="D40:E40"/>
    <mergeCell ref="D26:E26"/>
    <mergeCell ref="C9:C10"/>
    <mergeCell ref="A55:A56"/>
    <mergeCell ref="B55:B56"/>
    <mergeCell ref="C55:C56"/>
    <mergeCell ref="A43:A44"/>
    <mergeCell ref="B43:B44"/>
    <mergeCell ref="C43:C44"/>
    <mergeCell ref="A49:A54"/>
    <mergeCell ref="B49:B54"/>
    <mergeCell ref="C49:C54"/>
    <mergeCell ref="A8:C8"/>
    <mergeCell ref="A5:L5"/>
    <mergeCell ref="A6:L6"/>
    <mergeCell ref="A12:A17"/>
    <mergeCell ref="B12:B17"/>
    <mergeCell ref="C12:C17"/>
    <mergeCell ref="I9:K9"/>
    <mergeCell ref="L9:L10"/>
    <mergeCell ref="A9:A10"/>
    <mergeCell ref="B9:B10"/>
    <mergeCell ref="H9:H10"/>
    <mergeCell ref="D11:E11"/>
    <mergeCell ref="D12:E12"/>
    <mergeCell ref="D13:E13"/>
    <mergeCell ref="D8:E10"/>
    <mergeCell ref="F8:F10"/>
    <mergeCell ref="G8:G10"/>
    <mergeCell ref="D14:E14"/>
    <mergeCell ref="D55:E55"/>
    <mergeCell ref="D15:E15"/>
    <mergeCell ref="D16:E16"/>
    <mergeCell ref="D17:E17"/>
    <mergeCell ref="D39:E39"/>
    <mergeCell ref="D36:E36"/>
    <mergeCell ref="D32:E32"/>
    <mergeCell ref="D22:E22"/>
    <mergeCell ref="D49:E49"/>
  </mergeCells>
  <printOptions/>
  <pageMargins left="0.53" right="0.57" top="1.14" bottom="0.67" header="0.21" footer="0.17"/>
  <pageSetup horizontalDpi="600" verticalDpi="600" orientation="landscape" paperSize="9" r:id="rId2"/>
  <headerFooter alignWithMargins="0">
    <oddFooter>&amp;CStrona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L31"/>
  <sheetViews>
    <sheetView zoomScale="95" zoomScaleNormal="95" workbookViewId="0" topLeftCell="A1">
      <selection activeCell="A6" sqref="A6:L6"/>
    </sheetView>
  </sheetViews>
  <sheetFormatPr defaultColWidth="9.00390625" defaultRowHeight="12.75"/>
  <cols>
    <col min="1" max="1" width="3.375" style="26" customWidth="1"/>
    <col min="2" max="2" width="36.875" style="26" customWidth="1"/>
    <col min="3" max="3" width="12.625" style="26" customWidth="1"/>
    <col min="4" max="4" width="12.375" style="26" customWidth="1"/>
    <col min="5" max="7" width="11.00390625" style="26" customWidth="1"/>
    <col min="8" max="8" width="12.25390625" style="26" customWidth="1"/>
    <col min="9" max="9" width="9.25390625" style="26" customWidth="1"/>
    <col min="10" max="10" width="8.00390625" style="26" customWidth="1"/>
    <col min="11" max="11" width="4.25390625" style="26" customWidth="1"/>
    <col min="12" max="12" width="13.75390625" style="26" customWidth="1"/>
    <col min="13" max="16384" width="9.125" style="26" customWidth="1"/>
  </cols>
  <sheetData>
    <row r="1" spans="4:12" ht="13.5" customHeight="1">
      <c r="D1" s="94"/>
      <c r="E1" s="95"/>
      <c r="F1" s="95"/>
      <c r="G1" s="95"/>
      <c r="H1" s="96"/>
      <c r="L1" s="61" t="s">
        <v>603</v>
      </c>
    </row>
    <row r="2" spans="4:12" ht="13.5" customHeight="1">
      <c r="D2" s="97"/>
      <c r="E2" s="96"/>
      <c r="F2" s="96"/>
      <c r="G2" s="96"/>
      <c r="H2" s="95"/>
      <c r="L2" s="60" t="s">
        <v>761</v>
      </c>
    </row>
    <row r="3" spans="4:12" ht="13.5" customHeight="1">
      <c r="D3" s="97"/>
      <c r="E3" s="96"/>
      <c r="F3" s="96"/>
      <c r="G3" s="96"/>
      <c r="H3" s="95"/>
      <c r="I3" s="27"/>
      <c r="J3" s="28"/>
      <c r="L3" s="60" t="s">
        <v>24</v>
      </c>
    </row>
    <row r="4" spans="4:10" ht="4.5" customHeight="1">
      <c r="D4" s="97"/>
      <c r="E4" s="96"/>
      <c r="F4" s="96"/>
      <c r="G4" s="96"/>
      <c r="H4" s="95"/>
      <c r="I4" s="27"/>
      <c r="J4" s="28"/>
    </row>
    <row r="5" spans="1:12" ht="16.5" customHeight="1">
      <c r="A5" s="944" t="s">
        <v>696</v>
      </c>
      <c r="B5" s="944"/>
      <c r="C5" s="944"/>
      <c r="D5" s="944"/>
      <c r="E5" s="944"/>
      <c r="F5" s="944"/>
      <c r="G5" s="944"/>
      <c r="H5" s="944"/>
      <c r="I5" s="944"/>
      <c r="J5" s="944"/>
      <c r="K5" s="944"/>
      <c r="L5" s="944"/>
    </row>
    <row r="6" spans="1:12" ht="16.5" customHeight="1">
      <c r="A6" s="944" t="s">
        <v>67</v>
      </c>
      <c r="B6" s="944"/>
      <c r="C6" s="944"/>
      <c r="D6" s="944"/>
      <c r="E6" s="944"/>
      <c r="F6" s="944"/>
      <c r="G6" s="944"/>
      <c r="H6" s="944"/>
      <c r="I6" s="944"/>
      <c r="J6" s="944"/>
      <c r="K6" s="944"/>
      <c r="L6" s="944"/>
    </row>
    <row r="7" spans="2:12" ht="12.75" customHeight="1">
      <c r="B7" s="29"/>
      <c r="I7" s="99"/>
      <c r="J7" s="99"/>
      <c r="L7" s="99" t="s">
        <v>356</v>
      </c>
    </row>
    <row r="8" spans="1:12" s="177" customFormat="1" ht="15.75" customHeight="1">
      <c r="A8" s="893" t="s">
        <v>362</v>
      </c>
      <c r="B8" s="917" t="s">
        <v>293</v>
      </c>
      <c r="C8" s="893" t="s">
        <v>193</v>
      </c>
      <c r="D8" s="939" t="s">
        <v>267</v>
      </c>
      <c r="E8" s="940"/>
      <c r="F8" s="940"/>
      <c r="G8" s="941"/>
      <c r="H8" s="799" t="s">
        <v>299</v>
      </c>
      <c r="I8" s="799"/>
      <c r="J8" s="948" t="s">
        <v>692</v>
      </c>
      <c r="K8" s="949"/>
      <c r="L8" s="893" t="s">
        <v>68</v>
      </c>
    </row>
    <row r="9" spans="1:12" s="177" customFormat="1" ht="11.25" customHeight="1">
      <c r="A9" s="894"/>
      <c r="B9" s="918"/>
      <c r="C9" s="894"/>
      <c r="D9" s="893" t="s">
        <v>373</v>
      </c>
      <c r="E9" s="939" t="s">
        <v>652</v>
      </c>
      <c r="F9" s="940"/>
      <c r="G9" s="941"/>
      <c r="H9" s="238"/>
      <c r="I9" s="238"/>
      <c r="J9" s="950"/>
      <c r="K9" s="951"/>
      <c r="L9" s="894"/>
    </row>
    <row r="10" spans="1:12" s="209" customFormat="1" ht="11.25" customHeight="1">
      <c r="A10" s="894"/>
      <c r="B10" s="918"/>
      <c r="C10" s="894"/>
      <c r="D10" s="894"/>
      <c r="E10" s="945" t="s">
        <v>374</v>
      </c>
      <c r="F10" s="942" t="s">
        <v>652</v>
      </c>
      <c r="G10" s="943"/>
      <c r="H10" s="893" t="s">
        <v>373</v>
      </c>
      <c r="I10" s="945" t="s">
        <v>375</v>
      </c>
      <c r="J10" s="950"/>
      <c r="K10" s="951"/>
      <c r="L10" s="894"/>
    </row>
    <row r="11" spans="1:12" s="209" customFormat="1" ht="20.25" customHeight="1">
      <c r="A11" s="895"/>
      <c r="B11" s="918"/>
      <c r="C11" s="894"/>
      <c r="D11" s="894"/>
      <c r="E11" s="946"/>
      <c r="F11" s="391" t="s">
        <v>693</v>
      </c>
      <c r="G11" s="391" t="s">
        <v>694</v>
      </c>
      <c r="H11" s="895"/>
      <c r="I11" s="947"/>
      <c r="J11" s="952"/>
      <c r="K11" s="953"/>
      <c r="L11" s="895"/>
    </row>
    <row r="12" spans="1:12" s="177" customFormat="1" ht="12.75" customHeight="1">
      <c r="A12" s="388">
        <v>1</v>
      </c>
      <c r="B12" s="388">
        <v>2</v>
      </c>
      <c r="C12" s="388">
        <v>3</v>
      </c>
      <c r="D12" s="388">
        <v>4</v>
      </c>
      <c r="E12" s="388">
        <v>5</v>
      </c>
      <c r="F12" s="388">
        <v>6</v>
      </c>
      <c r="G12" s="388">
        <v>7</v>
      </c>
      <c r="H12" s="388">
        <v>8</v>
      </c>
      <c r="I12" s="388">
        <v>9</v>
      </c>
      <c r="J12" s="942">
        <v>10</v>
      </c>
      <c r="K12" s="943"/>
      <c r="L12" s="388">
        <v>11</v>
      </c>
    </row>
    <row r="13" spans="1:12" s="210" customFormat="1" ht="18.75" customHeight="1">
      <c r="A13" s="243" t="s">
        <v>376</v>
      </c>
      <c r="B13" s="649" t="s">
        <v>379</v>
      </c>
      <c r="C13" s="367">
        <f aca="true" t="shared" si="0" ref="C13:I13">SUM(C14:C16)</f>
        <v>1244276</v>
      </c>
      <c r="D13" s="367">
        <f t="shared" si="0"/>
        <v>3456000</v>
      </c>
      <c r="E13" s="367">
        <f t="shared" si="0"/>
        <v>0</v>
      </c>
      <c r="F13" s="367">
        <f t="shared" si="0"/>
        <v>0</v>
      </c>
      <c r="G13" s="367">
        <f t="shared" si="0"/>
        <v>0</v>
      </c>
      <c r="H13" s="367">
        <f t="shared" si="0"/>
        <v>3455630</v>
      </c>
      <c r="I13" s="367">
        <f t="shared" si="0"/>
        <v>370</v>
      </c>
      <c r="J13" s="959">
        <f>C13+D13-H13</f>
        <v>1244646</v>
      </c>
      <c r="K13" s="959"/>
      <c r="L13" s="367">
        <f>SUM(L14:L16)</f>
        <v>2359</v>
      </c>
    </row>
    <row r="14" spans="1:12" s="177" customFormat="1" ht="24">
      <c r="A14" s="388" t="s">
        <v>303</v>
      </c>
      <c r="B14" s="648" t="s">
        <v>380</v>
      </c>
      <c r="C14" s="376">
        <v>1068473</v>
      </c>
      <c r="D14" s="376">
        <v>980000</v>
      </c>
      <c r="E14" s="376">
        <v>0</v>
      </c>
      <c r="F14" s="376">
        <v>0</v>
      </c>
      <c r="G14" s="376">
        <v>0</v>
      </c>
      <c r="H14" s="376">
        <f>979260+370</f>
        <v>979630</v>
      </c>
      <c r="I14" s="376">
        <v>370</v>
      </c>
      <c r="J14" s="954">
        <f>SUM(C14+D14-H14)</f>
        <v>1068843</v>
      </c>
      <c r="K14" s="955"/>
      <c r="L14" s="642">
        <v>1964</v>
      </c>
    </row>
    <row r="15" spans="1:12" s="177" customFormat="1" ht="24">
      <c r="A15" s="388" t="s">
        <v>304</v>
      </c>
      <c r="B15" s="648" t="s">
        <v>381</v>
      </c>
      <c r="C15" s="376">
        <v>152215</v>
      </c>
      <c r="D15" s="376">
        <v>2393000</v>
      </c>
      <c r="E15" s="376">
        <v>0</v>
      </c>
      <c r="F15" s="376">
        <v>0</v>
      </c>
      <c r="G15" s="376">
        <v>0</v>
      </c>
      <c r="H15" s="376">
        <f>2393000</f>
        <v>2393000</v>
      </c>
      <c r="I15" s="376">
        <v>0</v>
      </c>
      <c r="J15" s="954">
        <f>SUM(C15+D15-H15)</f>
        <v>152215</v>
      </c>
      <c r="K15" s="955"/>
      <c r="L15" s="642" t="s">
        <v>377</v>
      </c>
    </row>
    <row r="16" spans="1:12" s="177" customFormat="1" ht="24">
      <c r="A16" s="388" t="s">
        <v>305</v>
      </c>
      <c r="B16" s="648" t="s">
        <v>382</v>
      </c>
      <c r="C16" s="376">
        <v>23588</v>
      </c>
      <c r="D16" s="376">
        <v>83000</v>
      </c>
      <c r="E16" s="376">
        <v>0</v>
      </c>
      <c r="F16" s="376">
        <v>0</v>
      </c>
      <c r="G16" s="376">
        <v>0</v>
      </c>
      <c r="H16" s="376">
        <v>83000</v>
      </c>
      <c r="I16" s="376">
        <v>0</v>
      </c>
      <c r="J16" s="954">
        <f>SUM(C16+D16-H16)</f>
        <v>23588</v>
      </c>
      <c r="K16" s="955"/>
      <c r="L16" s="376">
        <v>395</v>
      </c>
    </row>
    <row r="17" spans="1:12" s="211" customFormat="1" ht="19.5" customHeight="1">
      <c r="A17" s="244" t="s">
        <v>378</v>
      </c>
      <c r="B17" s="390" t="s">
        <v>615</v>
      </c>
      <c r="C17" s="235">
        <f aca="true" t="shared" si="1" ref="C17:I17">SUM(C18:C26)</f>
        <v>82707</v>
      </c>
      <c r="D17" s="235">
        <f>SUM(D18:D26)</f>
        <v>538154</v>
      </c>
      <c r="E17" s="235">
        <f t="shared" si="1"/>
        <v>0</v>
      </c>
      <c r="F17" s="235">
        <f t="shared" si="1"/>
        <v>0</v>
      </c>
      <c r="G17" s="235">
        <f t="shared" si="1"/>
        <v>0</v>
      </c>
      <c r="H17" s="235">
        <f t="shared" si="1"/>
        <v>569511</v>
      </c>
      <c r="I17" s="235">
        <f t="shared" si="1"/>
        <v>0</v>
      </c>
      <c r="J17" s="960">
        <f>SUM(J18:K26)</f>
        <v>51350</v>
      </c>
      <c r="K17" s="961"/>
      <c r="L17" s="235">
        <f>SUM(L18:L26)</f>
        <v>0</v>
      </c>
    </row>
    <row r="18" spans="1:12" s="212" customFormat="1" ht="18" customHeight="1">
      <c r="A18" s="643" t="s">
        <v>303</v>
      </c>
      <c r="B18" s="650" t="s">
        <v>383</v>
      </c>
      <c r="C18" s="645">
        <v>0</v>
      </c>
      <c r="D18" s="646">
        <v>91480</v>
      </c>
      <c r="E18" s="645">
        <v>0</v>
      </c>
      <c r="F18" s="645">
        <v>0</v>
      </c>
      <c r="G18" s="645">
        <v>0</v>
      </c>
      <c r="H18" s="646">
        <v>91480</v>
      </c>
      <c r="I18" s="645">
        <v>0</v>
      </c>
      <c r="J18" s="956">
        <f>C18+D18-H18</f>
        <v>0</v>
      </c>
      <c r="K18" s="957"/>
      <c r="L18" s="647">
        <v>0</v>
      </c>
    </row>
    <row r="19" spans="1:12" s="212" customFormat="1" ht="18" customHeight="1">
      <c r="A19" s="643" t="s">
        <v>304</v>
      </c>
      <c r="B19" s="644" t="s">
        <v>384</v>
      </c>
      <c r="C19" s="645">
        <v>29254</v>
      </c>
      <c r="D19" s="646">
        <v>46624</v>
      </c>
      <c r="E19" s="645">
        <v>0</v>
      </c>
      <c r="F19" s="645">
        <v>0</v>
      </c>
      <c r="G19" s="645">
        <v>0</v>
      </c>
      <c r="H19" s="646">
        <v>46624</v>
      </c>
      <c r="I19" s="645">
        <v>0</v>
      </c>
      <c r="J19" s="956">
        <f>$C19+$D19-$H19</f>
        <v>29254</v>
      </c>
      <c r="K19" s="957"/>
      <c r="L19" s="647">
        <v>0</v>
      </c>
    </row>
    <row r="20" spans="1:12" s="177" customFormat="1" ht="25.5" customHeight="1">
      <c r="A20" s="643" t="s">
        <v>305</v>
      </c>
      <c r="B20" s="648" t="s">
        <v>695</v>
      </c>
      <c r="C20" s="376">
        <v>13062</v>
      </c>
      <c r="D20" s="376">
        <v>77000</v>
      </c>
      <c r="E20" s="376">
        <v>0</v>
      </c>
      <c r="F20" s="376">
        <v>0</v>
      </c>
      <c r="G20" s="376">
        <v>0</v>
      </c>
      <c r="H20" s="376">
        <v>86776</v>
      </c>
      <c r="I20" s="376">
        <v>0</v>
      </c>
      <c r="J20" s="956">
        <f aca="true" t="shared" si="2" ref="J20:J26">$C20+$D20-$H20</f>
        <v>3286</v>
      </c>
      <c r="K20" s="957"/>
      <c r="L20" s="387">
        <v>0</v>
      </c>
    </row>
    <row r="21" spans="1:12" s="177" customFormat="1" ht="18.75" customHeight="1">
      <c r="A21" s="643" t="s">
        <v>294</v>
      </c>
      <c r="B21" s="648" t="s">
        <v>385</v>
      </c>
      <c r="C21" s="376">
        <v>2500</v>
      </c>
      <c r="D21" s="376">
        <v>272500</v>
      </c>
      <c r="E21" s="376">
        <v>0</v>
      </c>
      <c r="F21" s="376">
        <v>0</v>
      </c>
      <c r="G21" s="376">
        <v>0</v>
      </c>
      <c r="H21" s="376">
        <v>273000</v>
      </c>
      <c r="I21" s="376">
        <v>0</v>
      </c>
      <c r="J21" s="956">
        <f t="shared" si="2"/>
        <v>2000</v>
      </c>
      <c r="K21" s="957"/>
      <c r="L21" s="387">
        <v>0</v>
      </c>
    </row>
    <row r="22" spans="1:12" s="177" customFormat="1" ht="25.5" customHeight="1">
      <c r="A22" s="643" t="s">
        <v>310</v>
      </c>
      <c r="B22" s="648" t="s">
        <v>386</v>
      </c>
      <c r="C22" s="376">
        <f>5000+9383</f>
        <v>14383</v>
      </c>
      <c r="D22" s="376">
        <v>2000</v>
      </c>
      <c r="E22" s="376">
        <v>0</v>
      </c>
      <c r="F22" s="376">
        <v>0</v>
      </c>
      <c r="G22" s="376">
        <v>0</v>
      </c>
      <c r="H22" s="376">
        <f>5000+11383</f>
        <v>16383</v>
      </c>
      <c r="I22" s="376">
        <v>0</v>
      </c>
      <c r="J22" s="956">
        <f t="shared" si="2"/>
        <v>0</v>
      </c>
      <c r="K22" s="957"/>
      <c r="L22" s="387">
        <v>0</v>
      </c>
    </row>
    <row r="23" spans="1:12" s="177" customFormat="1" ht="20.25" customHeight="1">
      <c r="A23" s="643" t="s">
        <v>314</v>
      </c>
      <c r="B23" s="648" t="s">
        <v>387</v>
      </c>
      <c r="C23" s="376">
        <v>13698</v>
      </c>
      <c r="D23" s="376">
        <v>11000</v>
      </c>
      <c r="E23" s="376">
        <v>0</v>
      </c>
      <c r="F23" s="376">
        <v>0</v>
      </c>
      <c r="G23" s="376">
        <v>0</v>
      </c>
      <c r="H23" s="376">
        <v>9698</v>
      </c>
      <c r="I23" s="376">
        <v>0</v>
      </c>
      <c r="J23" s="956">
        <f t="shared" si="2"/>
        <v>15000</v>
      </c>
      <c r="K23" s="957"/>
      <c r="L23" s="387">
        <v>0</v>
      </c>
    </row>
    <row r="24" spans="1:12" s="177" customFormat="1" ht="20.25" customHeight="1">
      <c r="A24" s="643" t="s">
        <v>322</v>
      </c>
      <c r="B24" s="648" t="s">
        <v>389</v>
      </c>
      <c r="C24" s="376">
        <f>5598+0</f>
        <v>5598</v>
      </c>
      <c r="D24" s="376">
        <f>1000+29650</f>
        <v>30650</v>
      </c>
      <c r="E24" s="376">
        <v>0</v>
      </c>
      <c r="F24" s="376">
        <v>0</v>
      </c>
      <c r="G24" s="376">
        <v>0</v>
      </c>
      <c r="H24" s="376">
        <f>6598+29650</f>
        <v>36248</v>
      </c>
      <c r="I24" s="376">
        <v>0</v>
      </c>
      <c r="J24" s="956">
        <f t="shared" si="2"/>
        <v>0</v>
      </c>
      <c r="K24" s="957"/>
      <c r="L24" s="387">
        <v>0</v>
      </c>
    </row>
    <row r="25" spans="1:12" s="177" customFormat="1" ht="20.25" customHeight="1">
      <c r="A25" s="643" t="s">
        <v>331</v>
      </c>
      <c r="B25" s="648" t="s">
        <v>391</v>
      </c>
      <c r="C25" s="376">
        <v>1000</v>
      </c>
      <c r="D25" s="376">
        <v>3800</v>
      </c>
      <c r="E25" s="376">
        <v>0</v>
      </c>
      <c r="F25" s="376">
        <v>0</v>
      </c>
      <c r="G25" s="376">
        <v>0</v>
      </c>
      <c r="H25" s="376">
        <v>3800</v>
      </c>
      <c r="I25" s="376">
        <v>0</v>
      </c>
      <c r="J25" s="956">
        <f t="shared" si="2"/>
        <v>1000</v>
      </c>
      <c r="K25" s="957"/>
      <c r="L25" s="387">
        <v>0</v>
      </c>
    </row>
    <row r="26" spans="1:12" s="213" customFormat="1" ht="24" customHeight="1">
      <c r="A26" s="643" t="s">
        <v>388</v>
      </c>
      <c r="B26" s="47" t="s">
        <v>697</v>
      </c>
      <c r="C26" s="376">
        <v>3212</v>
      </c>
      <c r="D26" s="376">
        <v>3100</v>
      </c>
      <c r="E26" s="376">
        <v>0</v>
      </c>
      <c r="F26" s="376">
        <v>0</v>
      </c>
      <c r="G26" s="376">
        <v>0</v>
      </c>
      <c r="H26" s="376">
        <v>5502</v>
      </c>
      <c r="I26" s="376">
        <v>0</v>
      </c>
      <c r="J26" s="956">
        <f t="shared" si="2"/>
        <v>810</v>
      </c>
      <c r="K26" s="957"/>
      <c r="L26" s="387">
        <v>0</v>
      </c>
    </row>
    <row r="27" spans="1:12" s="45" customFormat="1" ht="20.25" customHeight="1">
      <c r="A27" s="958" t="s">
        <v>268</v>
      </c>
      <c r="B27" s="958"/>
      <c r="C27" s="235">
        <f aca="true" t="shared" si="3" ref="C27:I27">SUM(C17,C13)</f>
        <v>1326983</v>
      </c>
      <c r="D27" s="235">
        <f t="shared" si="3"/>
        <v>3994154</v>
      </c>
      <c r="E27" s="235">
        <f t="shared" si="3"/>
        <v>0</v>
      </c>
      <c r="F27" s="235">
        <f t="shared" si="3"/>
        <v>0</v>
      </c>
      <c r="G27" s="235">
        <f t="shared" si="3"/>
        <v>0</v>
      </c>
      <c r="H27" s="235">
        <f t="shared" si="3"/>
        <v>4025141</v>
      </c>
      <c r="I27" s="235">
        <f t="shared" si="3"/>
        <v>370</v>
      </c>
      <c r="J27" s="959">
        <f>SUM(J13,J17)</f>
        <v>1295996</v>
      </c>
      <c r="K27" s="959"/>
      <c r="L27" s="235">
        <f>SUM(L17,L13)</f>
        <v>2359</v>
      </c>
    </row>
    <row r="28" ht="8.25" customHeight="1"/>
    <row r="29" spans="1:7" ht="12.75">
      <c r="A29" s="114" t="s">
        <v>195</v>
      </c>
      <c r="D29" s="31"/>
      <c r="E29" s="31"/>
      <c r="F29" s="31"/>
      <c r="G29" s="31"/>
    </row>
    <row r="30" spans="1:7" s="30" customFormat="1" ht="11.25">
      <c r="A30" s="30" t="s">
        <v>194</v>
      </c>
      <c r="E30" s="169"/>
      <c r="F30" s="169"/>
      <c r="G30" s="169"/>
    </row>
    <row r="31" spans="1:7" s="30" customFormat="1" ht="11.25">
      <c r="A31" s="30" t="s">
        <v>196</v>
      </c>
      <c r="E31" s="169"/>
      <c r="F31" s="169"/>
      <c r="G31" s="169"/>
    </row>
  </sheetData>
  <mergeCells count="32">
    <mergeCell ref="A27:B27"/>
    <mergeCell ref="J27:K27"/>
    <mergeCell ref="J13:K13"/>
    <mergeCell ref="J14:K14"/>
    <mergeCell ref="J15:K15"/>
    <mergeCell ref="J17:K17"/>
    <mergeCell ref="J18:K18"/>
    <mergeCell ref="J19:K19"/>
    <mergeCell ref="J24:K24"/>
    <mergeCell ref="J25:K25"/>
    <mergeCell ref="J16:K16"/>
    <mergeCell ref="J26:K26"/>
    <mergeCell ref="J20:K20"/>
    <mergeCell ref="J21:K21"/>
    <mergeCell ref="J22:K22"/>
    <mergeCell ref="J23:K23"/>
    <mergeCell ref="L8:L11"/>
    <mergeCell ref="H8:I8"/>
    <mergeCell ref="J12:K12"/>
    <mergeCell ref="A5:L5"/>
    <mergeCell ref="A6:L6"/>
    <mergeCell ref="E10:E11"/>
    <mergeCell ref="A8:A11"/>
    <mergeCell ref="H10:H11"/>
    <mergeCell ref="I10:I11"/>
    <mergeCell ref="J8:K11"/>
    <mergeCell ref="B8:B11"/>
    <mergeCell ref="C8:C11"/>
    <mergeCell ref="D9:D11"/>
    <mergeCell ref="D8:G8"/>
    <mergeCell ref="E9:G9"/>
    <mergeCell ref="F10:G10"/>
  </mergeCells>
  <printOptions/>
  <pageMargins left="0.28" right="0.18" top="0.71" bottom="0.21" header="0.46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Grazyna</cp:lastModifiedBy>
  <cp:lastPrinted>2009-08-06T06:41:36Z</cp:lastPrinted>
  <dcterms:created xsi:type="dcterms:W3CDTF">1998-12-09T13:02:10Z</dcterms:created>
  <dcterms:modified xsi:type="dcterms:W3CDTF">2009-08-06T06:41:58Z</dcterms:modified>
  <cp:category/>
  <cp:version/>
  <cp:contentType/>
  <cp:contentStatus/>
</cp:coreProperties>
</file>