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activeTab="5"/>
  </bookViews>
  <sheets>
    <sheet name="zał2-sfin" sheetId="1" r:id="rId1"/>
    <sheet name="zał3-poroz" sheetId="2" r:id="rId2"/>
    <sheet name="zał4-inne dotacje" sheetId="3" r:id="rId3"/>
    <sheet name="zał5-F.Geod" sheetId="4" r:id="rId4"/>
    <sheet name="zał6-progn" sheetId="5" r:id="rId5"/>
    <sheet name="zał7-syt finans" sheetId="6" r:id="rId6"/>
  </sheets>
  <definedNames>
    <definedName name="_xlnm.Print_Titles" localSheetId="1">'zał3-poroz'!$8:$11</definedName>
    <definedName name="_xlnm.Print_Titles" localSheetId="4">'zał6-progn'!$A:$B</definedName>
    <definedName name="_xlnm.Print_Titles" localSheetId="5">'zał7-syt finans'!$A:$B</definedName>
  </definedNames>
  <calcPr fullCalcOnLoad="1"/>
</workbook>
</file>

<file path=xl/sharedStrings.xml><?xml version="1.0" encoding="utf-8"?>
<sst xmlns="http://schemas.openxmlformats.org/spreadsheetml/2006/main" count="460" uniqueCount="229">
  <si>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</si>
  <si>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</si>
  <si>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</si>
  <si>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</si>
  <si>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</si>
  <si>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</si>
  <si>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</si>
  <si>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</si>
  <si>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</si>
  <si>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>Powiat Kwidzyński -      13.835,-zł</t>
  </si>
  <si>
    <t xml:space="preserve">Nauka religii bizantyjsko-ukraińskiej  - Gmina Miejska Iława </t>
  </si>
  <si>
    <t>Pokrywanie kosztów utrzymania dzieci i młodzieży z terenu naszego powiatu umieszczonych w placówkach opiekuńczo-wychowawczych na terenie innego powiatu</t>
  </si>
  <si>
    <t>Wydatki bieżące</t>
  </si>
  <si>
    <t>Nazwa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</si>
  <si>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</si>
  <si>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</si>
  <si>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</si>
  <si>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</si>
  <si>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</si>
  <si>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</si>
  <si>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</si>
  <si>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</si>
  <si>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</si>
  <si>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</si>
  <si>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</si>
  <si>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</si>
  <si>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</si>
  <si>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</si>
  <si>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</si>
  <si>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</si>
  <si>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</si>
  <si>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</si>
  <si>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</si>
  <si>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</si>
  <si>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</si>
  <si>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</si>
  <si>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</si>
  <si>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</si>
  <si>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</si>
  <si>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</si>
  <si>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</si>
  <si>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</si>
  <si>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</si>
  <si>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</si>
  <si>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</si>
  <si>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</si>
  <si>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</si>
  <si>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</si>
  <si>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</si>
  <si>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</si>
  <si>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</si>
  <si>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</si>
  <si>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</si>
  <si>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</si>
  <si>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</si>
  <si>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</si>
  <si>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</si>
  <si>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</si>
  <si>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</si>
  <si>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</si>
  <si>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</si>
  <si>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</si>
  <si>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</si>
  <si>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Gospodarki Zasobem Geodezyjnym i Kartograficznym</t>
  </si>
  <si>
    <t>§ 0830 - Wpływy z usług</t>
  </si>
  <si>
    <t>§ 4270 - Zakup usług remontowych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</si>
  <si>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</si>
  <si>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</si>
  <si>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</si>
  <si>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</si>
  <si>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</si>
  <si>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</si>
  <si>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</si>
  <si>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</si>
  <si>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</si>
  <si>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</si>
  <si>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</si>
  <si>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</si>
  <si>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</si>
  <si>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</si>
  <si>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</si>
  <si>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</si>
  <si>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</si>
  <si>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</si>
  <si>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</si>
  <si>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</si>
  <si>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</si>
  <si>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</si>
  <si>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</si>
  <si>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</si>
  <si>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</si>
  <si>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</si>
  <si>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</si>
  <si>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</si>
  <si>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</si>
  <si>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</si>
  <si>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</si>
  <si>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</si>
  <si>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</si>
  <si>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</si>
  <si>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</si>
  <si>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</si>
  <si>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</si>
  <si>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</si>
  <si>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</si>
  <si>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</si>
  <si>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</si>
  <si>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</si>
  <si>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</si>
  <si>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</si>
  <si>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</si>
  <si>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</si>
  <si>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</si>
  <si>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</si>
  <si>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</si>
  <si>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</si>
  <si>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</si>
  <si>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</si>
  <si>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</si>
  <si>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</si>
  <si>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</si>
  <si>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</si>
  <si>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</si>
  <si>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</si>
  <si>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</si>
  <si>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</si>
  <si>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</si>
  <si>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</si>
  <si>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</si>
  <si>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</si>
  <si>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</si>
  <si>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</si>
  <si>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</si>
  <si>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</si>
  <si>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</si>
  <si>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</si>
  <si>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</si>
  <si>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</si>
  <si>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6120  - wydatki na zakupy inwestycyjne funduszy celowych</t>
  </si>
  <si>
    <t>§ 4210 - Zakup materiałów i wyposażenia</t>
  </si>
  <si>
    <t>-</t>
  </si>
  <si>
    <t>9.</t>
  </si>
  <si>
    <t>Paragraf</t>
  </si>
  <si>
    <t>WYDATKI OGÓŁEM</t>
  </si>
  <si>
    <t>Wydatki bieżące, w tym:</t>
  </si>
  <si>
    <t>Wydatki inwestycyjne, w tym: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</si>
  <si>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</si>
  <si>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</si>
  <si>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</si>
  <si>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Prowadzenie Biblioteki Powiatowej przez Miejską Bibliotekę Publiczną w Iławie działającą w strukturze Iławskiego Centrum Kultury w Iławie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</si>
  <si>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</si>
  <si>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</si>
  <si>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</si>
  <si>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</si>
  <si>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</si>
  <si>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</si>
  <si>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</si>
  <si>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</si>
  <si>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</si>
  <si>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>Ogółem kwota dotacji</t>
  </si>
  <si>
    <t>Ochrona zdrowia</t>
  </si>
  <si>
    <t>Szpitale ogólne</t>
  </si>
  <si>
    <t>Współfinansowanie kosztów zatrudnienia pracownika oddelegowanego do pracy w Międzyzwiązkowej Organizacji Związkowej obsługującego szkoły i placówki na terenie miasta Iława - porozumienie z miastem Iława</t>
  </si>
  <si>
    <t>§ 0920 - Pozostałe odsetki</t>
  </si>
  <si>
    <t>Dotacja dla budżetu Miasta Katowice na pokrycie kosztów utrzymania dziecka w rodzinie zastępczej</t>
  </si>
  <si>
    <t>§ 4260 - Zakup energii</t>
  </si>
  <si>
    <t xml:space="preserve">                     Załącznik Nr 3</t>
  </si>
  <si>
    <t xml:space="preserve">                     Załącznik Nr 4</t>
  </si>
  <si>
    <t>w tym:</t>
  </si>
  <si>
    <t>z tego: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</si>
  <si>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</si>
  <si>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</si>
  <si>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</si>
  <si>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</si>
  <si>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</si>
  <si>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</si>
  <si>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</si>
  <si>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</si>
  <si>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</si>
  <si>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</si>
  <si>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</si>
  <si>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Przelewy redystrycyjne</t>
  </si>
  <si>
    <t>3.1.</t>
  </si>
  <si>
    <t>Odpis 10% od przychodów własnych dla funduszu centralnego</t>
  </si>
  <si>
    <t>3.2.</t>
  </si>
  <si>
    <t>Odpis 10% od przychodów własnych dla funduszu wojewódzkiego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</si>
  <si>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</si>
  <si>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</si>
  <si>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</si>
  <si>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</si>
  <si>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Plan na rok 2008</t>
  </si>
  <si>
    <t xml:space="preserve"> na podstawie porozumień (umów) między jednostkami samorządu terytorialnego w 2008 r.</t>
  </si>
  <si>
    <t>Gmina Miejska Lubawa - 36.200,-</t>
  </si>
  <si>
    <t xml:space="preserve">             Inne dotacje udzielone w roku 2008</t>
  </si>
  <si>
    <t>Dotacje celowe z budżetu na finansowanie lub dofinansowanie kosztów realizacji inwestycji i zakupów inwestycyjnych innych jednostek sektora finansów publicznych - Modernizacja budynku bryły B Szpitala Powiatowego w Iławie - rewitalizacja</t>
  </si>
  <si>
    <t>Gmina Miejska Zalewo: 30.164,-zł</t>
  </si>
  <si>
    <t>Partycypacja w kosztach utrzymania placówki opiekuńczo-wychowawczej w Kisielicach</t>
  </si>
  <si>
    <t>Przebudowa ul. Dąbrowskiego w Iławie - dotacja z Gminy Miejskiej Iława</t>
  </si>
  <si>
    <t>Powiat Grodzki Elbląg -  19.764,-zł</t>
  </si>
  <si>
    <t>Powiat Ostródzki -         35.575,-zł</t>
  </si>
  <si>
    <t>Gmina Kisielice: 9.293,-zł</t>
  </si>
  <si>
    <t>Partycypacja w kosztach utrzymania placówki opiekuńczo-wychowawczej w Lubawie</t>
  </si>
  <si>
    <t>Powiat Szczytno -           7.006,-zł</t>
  </si>
  <si>
    <t>Plan na 2008 r.</t>
  </si>
  <si>
    <t>Źródła sfinansowania deficytu lub rozdysponowanie                                                           nadwyżki budżetowej w 2008 r.</t>
  </si>
  <si>
    <t>Gmina Wiejska Lubawa: 11.026,-zł</t>
  </si>
  <si>
    <t>§ 4740 - Zakup materiałów papierniczych do sprzętu drukarskiego i urządzeń kserograficznych</t>
  </si>
  <si>
    <t>§ 4750 - Zakup akcesoriów komputerowych, w tym programów i licencji</t>
  </si>
  <si>
    <t>Kredyty zaciągnięte w danym roku budżetowym:</t>
  </si>
  <si>
    <t>IX.1</t>
  </si>
  <si>
    <t>IX.2</t>
  </si>
  <si>
    <t>X.1</t>
  </si>
  <si>
    <t>X.2</t>
  </si>
  <si>
    <t xml:space="preserve">                     Załącznik Nr 5</t>
  </si>
  <si>
    <t xml:space="preserve">                                      do Uchwały Rady Powiatu Nr XVI/         /08</t>
  </si>
  <si>
    <t>§ 4370 - Opłata z tytułu zakupu usług telekomunikacyjnych telefonii stacjonarnej</t>
  </si>
  <si>
    <t>§ 4430 - Różne opłaty i składki</t>
  </si>
  <si>
    <t xml:space="preserve">§ 4700 - Szkolenia pracowników niebędących członkami korpusu służby cywilnej </t>
  </si>
  <si>
    <t>Powiat Sztumski - 10.387,- zł</t>
  </si>
  <si>
    <t>Wykonanie 2007 r.</t>
  </si>
  <si>
    <t xml:space="preserve">                                      z dnia 28 lutego 2008 roku</t>
  </si>
  <si>
    <t xml:space="preserve">                     Załącznik Nr 7</t>
  </si>
  <si>
    <t>Wykonanie</t>
  </si>
  <si>
    <t>Wykonanie 2007</t>
  </si>
  <si>
    <t>Dotacja na pokrycie kosztów utrzymania dzieci w rodzinie zastępczej w innych powiatach</t>
  </si>
  <si>
    <t>Powiat Działdowski - 8.582,-zł</t>
  </si>
  <si>
    <t>Powiat Nidzica - 15.210,-zł</t>
  </si>
  <si>
    <t>Powiat Janów Lubelski-  53.100,-zł</t>
  </si>
  <si>
    <t>Powiat Malborski - 7.906,-zł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</si>
</sst>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3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11"/>
      <color indexed="10"/>
      <name val="Arial CE"/>
      <family val="2"/>
    </font>
    <font>
      <b/>
      <sz val="9"/>
      <color indexed="10"/>
      <name val="Arial CE"/>
      <family val="2"/>
    </font>
    <font>
      <b/>
      <sz val="12"/>
      <color indexed="10"/>
      <name val="Arial CE"/>
      <family val="2"/>
    </font>
    <font>
      <sz val="11"/>
      <color indexed="10"/>
      <name val="Times New Roman CE"/>
      <family val="1"/>
    </font>
    <font>
      <sz val="12"/>
      <color indexed="10"/>
      <name val="Arial CE"/>
      <family val="2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 CE"/>
      <family val="2"/>
    </font>
    <font>
      <b/>
      <sz val="9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4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20" fillId="0" borderId="0" xfId="0" applyFont="1" applyAlignment="1">
      <alignment vertical="top"/>
    </xf>
    <xf numFmtId="0" fontId="16" fillId="0" borderId="0" xfId="0" applyFont="1" applyAlignment="1">
      <alignment/>
    </xf>
    <xf numFmtId="0" fontId="9" fillId="0" borderId="0" xfId="0" applyFont="1" applyAlignment="1">
      <alignment vertical="top"/>
    </xf>
    <xf numFmtId="0" fontId="6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24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2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" fontId="21" fillId="0" borderId="18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13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11" fillId="2" borderId="1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4" fontId="0" fillId="2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/>
    </xf>
    <xf numFmtId="3" fontId="29" fillId="0" borderId="25" xfId="0" applyNumberFormat="1" applyFont="1" applyBorder="1" applyAlignment="1">
      <alignment vertical="center"/>
    </xf>
    <xf numFmtId="3" fontId="29" fillId="0" borderId="26" xfId="0" applyNumberFormat="1" applyFont="1" applyBorder="1" applyAlignment="1">
      <alignment vertical="center"/>
    </xf>
    <xf numFmtId="3" fontId="29" fillId="2" borderId="27" xfId="0" applyNumberFormat="1" applyFont="1" applyFill="1" applyBorder="1" applyAlignment="1">
      <alignment vertical="center"/>
    </xf>
    <xf numFmtId="3" fontId="29" fillId="0" borderId="28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29" fillId="0" borderId="2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3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10" fontId="4" fillId="0" borderId="10" xfId="17" applyNumberFormat="1" applyFont="1" applyFill="1" applyBorder="1" applyAlignment="1">
      <alignment horizontal="center"/>
    </xf>
    <xf numFmtId="10" fontId="33" fillId="0" borderId="10" xfId="17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17" applyNumberFormat="1" applyFont="1" applyFill="1" applyBorder="1" applyAlignment="1">
      <alignment vertical="center"/>
    </xf>
    <xf numFmtId="10" fontId="33" fillId="0" borderId="10" xfId="17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33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left" vertical="center" indent="1"/>
    </xf>
    <xf numFmtId="164" fontId="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3" fillId="0" borderId="17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4" fontId="33" fillId="0" borderId="10" xfId="0" applyNumberFormat="1" applyFont="1" applyFill="1" applyBorder="1" applyAlignment="1">
      <alignment vertical="center"/>
    </xf>
    <xf numFmtId="4" fontId="33" fillId="0" borderId="3" xfId="0" applyNumberFormat="1" applyFont="1" applyFill="1" applyBorder="1" applyAlignment="1">
      <alignment/>
    </xf>
    <xf numFmtId="4" fontId="33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3" fontId="33" fillId="0" borderId="16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638300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647825" y="346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82"/>
  <sheetViews>
    <sheetView workbookViewId="0" topLeftCell="A1">
      <selection activeCell="B20" sqref="B20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8" s="97" customFormat="1" ht="19.5" customHeight="1">
      <c r="A1" s="334" t="s">
        <v>204</v>
      </c>
      <c r="B1" s="334"/>
      <c r="C1" s="334"/>
      <c r="D1" s="334"/>
      <c r="E1" s="334"/>
      <c r="F1" s="334"/>
      <c r="H1" s="59"/>
    </row>
    <row r="2" spans="1:6" s="97" customFormat="1" ht="15" customHeight="1">
      <c r="A2" s="334"/>
      <c r="B2" s="334"/>
      <c r="C2" s="334"/>
      <c r="D2" s="334"/>
      <c r="E2" s="334"/>
      <c r="F2" s="334"/>
    </row>
    <row r="3" s="97" customFormat="1" ht="13.5" thickBot="1">
      <c r="F3" s="211" t="s">
        <v>129</v>
      </c>
    </row>
    <row r="4" spans="1:6" s="97" customFormat="1" ht="15.75" thickBot="1">
      <c r="A4" s="177" t="s">
        <v>74</v>
      </c>
      <c r="B4" s="177" t="s">
        <v>71</v>
      </c>
      <c r="C4" s="177" t="s">
        <v>88</v>
      </c>
      <c r="D4" s="178" t="s">
        <v>88</v>
      </c>
      <c r="E4" s="332" t="s">
        <v>72</v>
      </c>
      <c r="F4" s="333"/>
    </row>
    <row r="5" spans="1:6" s="97" customFormat="1" ht="30.75" thickBot="1">
      <c r="A5" s="179"/>
      <c r="B5" s="179"/>
      <c r="C5" s="180" t="s">
        <v>89</v>
      </c>
      <c r="D5" s="181" t="s">
        <v>27</v>
      </c>
      <c r="E5" s="175" t="s">
        <v>219</v>
      </c>
      <c r="F5" s="175" t="s">
        <v>190</v>
      </c>
    </row>
    <row r="6" spans="1:6" s="97" customFormat="1" ht="9" customHeight="1" thickBot="1">
      <c r="A6" s="176">
        <v>1</v>
      </c>
      <c r="B6" s="176">
        <v>2</v>
      </c>
      <c r="C6" s="176">
        <v>3</v>
      </c>
      <c r="D6" s="176"/>
      <c r="E6" s="176">
        <v>3</v>
      </c>
      <c r="F6" s="176">
        <v>4</v>
      </c>
    </row>
    <row r="7" spans="1:6" s="97" customFormat="1" ht="19.5" customHeight="1">
      <c r="A7" s="182" t="s">
        <v>76</v>
      </c>
      <c r="B7" s="183" t="s">
        <v>90</v>
      </c>
      <c r="C7" s="98"/>
      <c r="D7" s="98"/>
      <c r="E7" s="165">
        <v>59026343</v>
      </c>
      <c r="F7" s="165">
        <v>59885908</v>
      </c>
    </row>
    <row r="8" spans="1:6" s="97" customFormat="1" ht="19.5" customHeight="1">
      <c r="A8" s="184" t="s">
        <v>80</v>
      </c>
      <c r="B8" s="185" t="s">
        <v>91</v>
      </c>
      <c r="C8" s="99"/>
      <c r="D8" s="99"/>
      <c r="E8" s="166">
        <v>60636770</v>
      </c>
      <c r="F8" s="166">
        <v>64772310</v>
      </c>
    </row>
    <row r="9" spans="1:6" s="97" customFormat="1" ht="19.5" customHeight="1" hidden="1">
      <c r="A9" s="186"/>
      <c r="B9" s="187"/>
      <c r="C9" s="99"/>
      <c r="D9" s="99"/>
      <c r="E9" s="166"/>
      <c r="F9" s="166"/>
    </row>
    <row r="10" spans="1:6" s="97" customFormat="1" ht="19.5" customHeight="1">
      <c r="A10" s="184"/>
      <c r="B10" s="185" t="s">
        <v>119</v>
      </c>
      <c r="C10" s="99"/>
      <c r="D10" s="99"/>
      <c r="E10" s="166">
        <f>E7-E8</f>
        <v>-1610427</v>
      </c>
      <c r="F10" s="166">
        <f>F7-F8</f>
        <v>-4886402</v>
      </c>
    </row>
    <row r="11" spans="1:6" s="97" customFormat="1" ht="0.75" customHeight="1" thickBot="1">
      <c r="A11" s="188"/>
      <c r="B11" s="183"/>
      <c r="C11" s="98"/>
      <c r="D11" s="98"/>
      <c r="E11" s="165"/>
      <c r="F11" s="165"/>
    </row>
    <row r="12" spans="1:6" s="97" customFormat="1" ht="19.5" customHeight="1" thickBot="1">
      <c r="A12" s="189"/>
      <c r="B12" s="190" t="s">
        <v>127</v>
      </c>
      <c r="C12" s="100"/>
      <c r="D12" s="100"/>
      <c r="E12" s="167">
        <f>E13-E23</f>
        <v>1610427</v>
      </c>
      <c r="F12" s="167">
        <f>F13-F23</f>
        <v>4886402</v>
      </c>
    </row>
    <row r="13" spans="1:6" s="97" customFormat="1" ht="19.5" customHeight="1" thickBot="1">
      <c r="A13" s="191" t="s">
        <v>81</v>
      </c>
      <c r="B13" s="192" t="s">
        <v>105</v>
      </c>
      <c r="C13" s="101"/>
      <c r="D13" s="101"/>
      <c r="E13" s="225">
        <f>SUM(E14:E22)</f>
        <v>7552813</v>
      </c>
      <c r="F13" s="168">
        <f>SUM(F14:F22)</f>
        <v>8390002</v>
      </c>
    </row>
    <row r="14" spans="1:6" s="97" customFormat="1" ht="19.5" customHeight="1">
      <c r="A14" s="193" t="s">
        <v>77</v>
      </c>
      <c r="B14" s="194" t="s">
        <v>28</v>
      </c>
      <c r="C14" s="102" t="s">
        <v>115</v>
      </c>
      <c r="D14" s="206" t="s">
        <v>115</v>
      </c>
      <c r="E14" s="226">
        <v>6223600</v>
      </c>
      <c r="F14" s="169">
        <f>-F10+F23-F22</f>
        <v>5975216</v>
      </c>
    </row>
    <row r="15" spans="1:6" s="97" customFormat="1" ht="19.5" customHeight="1">
      <c r="A15" s="195" t="s">
        <v>78</v>
      </c>
      <c r="B15" s="196" t="s">
        <v>120</v>
      </c>
      <c r="C15" s="103" t="s">
        <v>115</v>
      </c>
      <c r="D15" s="207" t="s">
        <v>115</v>
      </c>
      <c r="E15" s="227">
        <v>0</v>
      </c>
      <c r="F15" s="170">
        <v>0</v>
      </c>
    </row>
    <row r="16" spans="1:6" s="97" customFormat="1" ht="45">
      <c r="A16" s="184" t="s">
        <v>79</v>
      </c>
      <c r="B16" s="197" t="s">
        <v>29</v>
      </c>
      <c r="C16" s="104"/>
      <c r="D16" s="208" t="s">
        <v>30</v>
      </c>
      <c r="E16" s="227">
        <v>0</v>
      </c>
      <c r="F16" s="170">
        <v>0</v>
      </c>
    </row>
    <row r="17" spans="1:6" s="97" customFormat="1" ht="19.5" customHeight="1">
      <c r="A17" s="184" t="s">
        <v>68</v>
      </c>
      <c r="B17" s="198" t="s">
        <v>106</v>
      </c>
      <c r="C17" s="104" t="s">
        <v>116</v>
      </c>
      <c r="D17" s="208" t="s">
        <v>31</v>
      </c>
      <c r="E17" s="227">
        <v>0</v>
      </c>
      <c r="F17" s="170">
        <v>0</v>
      </c>
    </row>
    <row r="18" spans="1:6" s="97" customFormat="1" ht="19.5" customHeight="1">
      <c r="A18" s="184" t="s">
        <v>83</v>
      </c>
      <c r="B18" s="198" t="s">
        <v>107</v>
      </c>
      <c r="C18" s="104" t="s">
        <v>117</v>
      </c>
      <c r="D18" s="208" t="s">
        <v>32</v>
      </c>
      <c r="E18" s="227">
        <v>0</v>
      </c>
      <c r="F18" s="170">
        <v>0</v>
      </c>
    </row>
    <row r="19" spans="1:6" s="97" customFormat="1" ht="21.75" customHeight="1">
      <c r="A19" s="184" t="s">
        <v>87</v>
      </c>
      <c r="B19" s="198" t="s">
        <v>92</v>
      </c>
      <c r="C19" s="104" t="s">
        <v>118</v>
      </c>
      <c r="D19" s="208" t="s">
        <v>118</v>
      </c>
      <c r="E19" s="227">
        <v>0</v>
      </c>
      <c r="F19" s="170">
        <v>0</v>
      </c>
    </row>
    <row r="20" spans="1:6" s="97" customFormat="1" ht="19.5" customHeight="1">
      <c r="A20" s="184" t="s">
        <v>95</v>
      </c>
      <c r="B20" s="198" t="s">
        <v>33</v>
      </c>
      <c r="C20" s="104"/>
      <c r="D20" s="208" t="s">
        <v>34</v>
      </c>
      <c r="E20" s="227">
        <v>0</v>
      </c>
      <c r="F20" s="170">
        <v>0</v>
      </c>
    </row>
    <row r="21" spans="1:6" s="97" customFormat="1" ht="19.5" customHeight="1">
      <c r="A21" s="199" t="s">
        <v>104</v>
      </c>
      <c r="B21" s="200" t="s">
        <v>35</v>
      </c>
      <c r="C21" s="102"/>
      <c r="D21" s="207" t="s">
        <v>36</v>
      </c>
      <c r="E21" s="227">
        <v>0</v>
      </c>
      <c r="F21" s="170">
        <v>0</v>
      </c>
    </row>
    <row r="22" spans="1:6" s="97" customFormat="1" ht="19.5" customHeight="1" thickBot="1">
      <c r="A22" s="199" t="s">
        <v>141</v>
      </c>
      <c r="B22" s="200" t="s">
        <v>37</v>
      </c>
      <c r="C22" s="105" t="s">
        <v>116</v>
      </c>
      <c r="D22" s="207" t="s">
        <v>116</v>
      </c>
      <c r="E22" s="171">
        <v>1329213</v>
      </c>
      <c r="F22" s="171">
        <v>2414786</v>
      </c>
    </row>
    <row r="23" spans="1:6" s="97" customFormat="1" ht="19.5" customHeight="1" thickBot="1">
      <c r="A23" s="191" t="s">
        <v>98</v>
      </c>
      <c r="B23" s="201" t="s">
        <v>108</v>
      </c>
      <c r="C23" s="106"/>
      <c r="D23" s="191"/>
      <c r="E23" s="225">
        <f>SUM(E24:E31)</f>
        <v>5942386</v>
      </c>
      <c r="F23" s="168">
        <f>SUM(F24:F31)</f>
        <v>3503600</v>
      </c>
    </row>
    <row r="24" spans="1:6" s="97" customFormat="1" ht="19.5" customHeight="1">
      <c r="A24" s="193" t="s">
        <v>77</v>
      </c>
      <c r="B24" s="202" t="s">
        <v>94</v>
      </c>
      <c r="C24" s="107" t="s">
        <v>110</v>
      </c>
      <c r="D24" s="209" t="s">
        <v>110</v>
      </c>
      <c r="E24" s="172">
        <v>2527600</v>
      </c>
      <c r="F24" s="172">
        <f>1781600-304000</f>
        <v>1477600</v>
      </c>
    </row>
    <row r="25" spans="1:6" s="97" customFormat="1" ht="19.5" customHeight="1">
      <c r="A25" s="184" t="s">
        <v>78</v>
      </c>
      <c r="B25" s="185" t="s">
        <v>114</v>
      </c>
      <c r="C25" s="108"/>
      <c r="D25" s="208" t="s">
        <v>110</v>
      </c>
      <c r="E25" s="173"/>
      <c r="F25" s="173"/>
    </row>
    <row r="26" spans="1:6" s="97" customFormat="1" ht="45">
      <c r="A26" s="184" t="s">
        <v>79</v>
      </c>
      <c r="B26" s="203" t="s">
        <v>38</v>
      </c>
      <c r="C26" s="108"/>
      <c r="D26" s="208" t="s">
        <v>39</v>
      </c>
      <c r="E26" s="173"/>
      <c r="F26" s="173"/>
    </row>
    <row r="27" spans="1:6" s="97" customFormat="1" ht="19.5" customHeight="1">
      <c r="A27" s="184" t="s">
        <v>68</v>
      </c>
      <c r="B27" s="185" t="s">
        <v>40</v>
      </c>
      <c r="C27" s="108" t="s">
        <v>131</v>
      </c>
      <c r="D27" s="208" t="s">
        <v>131</v>
      </c>
      <c r="E27" s="173">
        <v>0</v>
      </c>
      <c r="F27" s="173">
        <v>26000</v>
      </c>
    </row>
    <row r="28" spans="1:6" s="97" customFormat="1" ht="19.5" customHeight="1">
      <c r="A28" s="184" t="s">
        <v>83</v>
      </c>
      <c r="B28" s="185" t="s">
        <v>41</v>
      </c>
      <c r="C28" s="108" t="s">
        <v>112</v>
      </c>
      <c r="D28" s="208" t="s">
        <v>112</v>
      </c>
      <c r="E28" s="173">
        <v>2414786</v>
      </c>
      <c r="F28" s="173">
        <v>0</v>
      </c>
    </row>
    <row r="29" spans="1:6" s="97" customFormat="1" ht="17.25" customHeight="1">
      <c r="A29" s="184" t="s">
        <v>87</v>
      </c>
      <c r="B29" s="185" t="s">
        <v>93</v>
      </c>
      <c r="C29" s="108" t="s">
        <v>113</v>
      </c>
      <c r="D29" s="208" t="s">
        <v>113</v>
      </c>
      <c r="E29" s="173">
        <v>1000000</v>
      </c>
      <c r="F29" s="173">
        <v>2000000</v>
      </c>
    </row>
    <row r="30" spans="1:6" s="97" customFormat="1" ht="17.25" customHeight="1">
      <c r="A30" s="184" t="s">
        <v>95</v>
      </c>
      <c r="B30" s="185" t="s">
        <v>59</v>
      </c>
      <c r="C30" s="108"/>
      <c r="D30" s="208" t="s">
        <v>42</v>
      </c>
      <c r="E30" s="173"/>
      <c r="F30" s="173"/>
    </row>
    <row r="31" spans="1:6" s="97" customFormat="1" ht="17.25" customHeight="1" thickBot="1">
      <c r="A31" s="204" t="s">
        <v>104</v>
      </c>
      <c r="B31" s="205" t="s">
        <v>109</v>
      </c>
      <c r="C31" s="108" t="s">
        <v>111</v>
      </c>
      <c r="D31" s="210" t="s">
        <v>111</v>
      </c>
      <c r="E31" s="174">
        <v>0</v>
      </c>
      <c r="F31" s="174">
        <v>0</v>
      </c>
    </row>
    <row r="32" spans="1:6" ht="19.5" customHeight="1">
      <c r="A32" s="4"/>
      <c r="B32" s="5"/>
      <c r="C32" s="5"/>
      <c r="D32" s="5"/>
      <c r="E32" s="26"/>
      <c r="F32" s="26"/>
    </row>
    <row r="33" spans="1:6" ht="30" hidden="1">
      <c r="A33" s="16" t="s">
        <v>121</v>
      </c>
      <c r="B33" s="19" t="s">
        <v>132</v>
      </c>
      <c r="C33" s="17"/>
      <c r="D33" s="17"/>
      <c r="E33" s="29">
        <f>E23</f>
        <v>5942386</v>
      </c>
      <c r="F33" s="32">
        <f>F23</f>
        <v>3503600</v>
      </c>
    </row>
    <row r="34" spans="1:6" ht="30" hidden="1">
      <c r="A34" s="9" t="s">
        <v>122</v>
      </c>
      <c r="B34" s="18" t="s">
        <v>128</v>
      </c>
      <c r="C34" s="13"/>
      <c r="D34" s="13"/>
      <c r="E34" s="30">
        <f>E7-E33</f>
        <v>53083957</v>
      </c>
      <c r="F34" s="33">
        <f>F7-F33</f>
        <v>56382308</v>
      </c>
    </row>
    <row r="35" spans="1:6" ht="30" hidden="1">
      <c r="A35" s="9" t="s">
        <v>123</v>
      </c>
      <c r="B35" s="18" t="s">
        <v>124</v>
      </c>
      <c r="C35" s="13"/>
      <c r="D35" s="13"/>
      <c r="E35" s="30">
        <f>E8-E34</f>
        <v>7552813</v>
      </c>
      <c r="F35" s="33">
        <f>F8-F34</f>
        <v>8390002</v>
      </c>
    </row>
    <row r="36" spans="1:6" ht="45.75" hidden="1" thickBot="1">
      <c r="A36" s="10" t="s">
        <v>125</v>
      </c>
      <c r="B36" s="14" t="s">
        <v>126</v>
      </c>
      <c r="C36" s="15"/>
      <c r="D36" s="15"/>
      <c r="E36" s="31">
        <f>SUM(E13)</f>
        <v>7552813</v>
      </c>
      <c r="F36" s="34">
        <f>SUM(F13)</f>
        <v>8390002</v>
      </c>
    </row>
    <row r="37" spans="1:6" ht="12.75">
      <c r="A37" s="3"/>
      <c r="E37" s="27"/>
      <c r="F37" s="27"/>
    </row>
    <row r="38" spans="1:6" ht="12.75">
      <c r="A38" s="3"/>
      <c r="E38" s="27"/>
      <c r="F38" s="27"/>
    </row>
    <row r="39" spans="5:6" s="12" customFormat="1" ht="15">
      <c r="E39" s="28"/>
      <c r="F39" s="28"/>
    </row>
    <row r="40" spans="1:6" ht="12.75">
      <c r="A40" s="3"/>
      <c r="E40" s="27"/>
      <c r="F40" s="27"/>
    </row>
    <row r="41" spans="1:6" ht="12.75">
      <c r="A41" s="3"/>
      <c r="E41" s="27"/>
      <c r="F41" s="27"/>
    </row>
    <row r="42" spans="1:6" ht="12.75">
      <c r="A42" s="3"/>
      <c r="E42" s="27"/>
      <c r="F42" s="27"/>
    </row>
    <row r="43" spans="1:6" ht="12.75">
      <c r="A43" s="3"/>
      <c r="E43" s="27"/>
      <c r="F43" s="27"/>
    </row>
    <row r="44" spans="1:6" ht="12.75">
      <c r="A44" s="3"/>
      <c r="E44" s="27"/>
      <c r="F44" s="27"/>
    </row>
    <row r="45" spans="1:6" ht="12.75">
      <c r="A45" s="3"/>
      <c r="E45" s="27"/>
      <c r="F45" s="27"/>
    </row>
    <row r="46" spans="1:6" ht="12.75">
      <c r="A46" s="3"/>
      <c r="E46" s="27"/>
      <c r="F46" s="27"/>
    </row>
    <row r="47" spans="1:6" ht="12.75">
      <c r="A47" s="3"/>
      <c r="E47" s="27"/>
      <c r="F47" s="27"/>
    </row>
    <row r="48" spans="5:6" ht="12.75">
      <c r="E48" s="27"/>
      <c r="F48" s="27"/>
    </row>
    <row r="49" spans="5:6" ht="12.75">
      <c r="E49" s="27"/>
      <c r="F49" s="27"/>
    </row>
    <row r="50" spans="5:6" ht="12.75">
      <c r="E50" s="27"/>
      <c r="F50" s="27"/>
    </row>
    <row r="51" spans="5:6" ht="12.75">
      <c r="E51" s="27"/>
      <c r="F51" s="27"/>
    </row>
    <row r="52" spans="5:6" ht="12.75">
      <c r="E52" s="27"/>
      <c r="F52" s="27"/>
    </row>
    <row r="53" spans="5:6" ht="12.75">
      <c r="E53" s="27"/>
      <c r="F53" s="27"/>
    </row>
    <row r="54" spans="5:6" ht="12.75">
      <c r="E54" s="27"/>
      <c r="F54" s="27"/>
    </row>
    <row r="55" spans="5:6" ht="12.75">
      <c r="E55" s="27"/>
      <c r="F55" s="27"/>
    </row>
    <row r="56" spans="5:6" ht="12.75">
      <c r="E56" s="27"/>
      <c r="F56" s="27"/>
    </row>
    <row r="57" spans="5:6" ht="12.75">
      <c r="E57" s="27"/>
      <c r="F57" s="27"/>
    </row>
    <row r="58" spans="5:6" ht="12.75">
      <c r="E58" s="27"/>
      <c r="F58" s="27"/>
    </row>
    <row r="59" spans="5:6" ht="12.75">
      <c r="E59" s="27"/>
      <c r="F59" s="27"/>
    </row>
    <row r="60" spans="5:6" ht="12.75">
      <c r="E60" s="27"/>
      <c r="F60" s="27"/>
    </row>
    <row r="61" spans="5:6" ht="12.75">
      <c r="E61" s="27"/>
      <c r="F61" s="27"/>
    </row>
    <row r="62" spans="5:6" ht="12.75">
      <c r="E62" s="27"/>
      <c r="F62" s="27"/>
    </row>
    <row r="63" spans="5:6" ht="12.75">
      <c r="E63" s="27"/>
      <c r="F63" s="27"/>
    </row>
    <row r="64" spans="5:6" ht="12.75">
      <c r="E64" s="27"/>
      <c r="F64" s="27"/>
    </row>
    <row r="65" spans="5:6" ht="12.75">
      <c r="E65" s="27"/>
      <c r="F65" s="27"/>
    </row>
    <row r="66" spans="5:6" ht="12.75">
      <c r="E66" s="27"/>
      <c r="F66" s="27"/>
    </row>
    <row r="67" spans="5:6" ht="12.75">
      <c r="E67" s="27"/>
      <c r="F67" s="27"/>
    </row>
    <row r="68" spans="5:6" ht="12.75">
      <c r="E68" s="27"/>
      <c r="F68" s="27"/>
    </row>
    <row r="69" spans="5:6" ht="12.75">
      <c r="E69" s="27"/>
      <c r="F69" s="27"/>
    </row>
    <row r="70" spans="5:6" ht="12.75">
      <c r="E70" s="27"/>
      <c r="F70" s="27"/>
    </row>
    <row r="71" spans="5:6" ht="12.75">
      <c r="E71" s="27"/>
      <c r="F71" s="27"/>
    </row>
    <row r="72" spans="5:6" ht="12.75">
      <c r="E72" s="27"/>
      <c r="F72" s="27"/>
    </row>
    <row r="73" spans="5:6" ht="12.75">
      <c r="E73" s="27"/>
      <c r="F73" s="27"/>
    </row>
    <row r="74" spans="5:6" ht="12.75">
      <c r="E74" s="27"/>
      <c r="F74" s="27"/>
    </row>
    <row r="75" spans="5:6" ht="12.75">
      <c r="E75" s="27"/>
      <c r="F75" s="27"/>
    </row>
    <row r="76" spans="5:6" ht="12.75">
      <c r="E76" s="27"/>
      <c r="F76" s="27"/>
    </row>
    <row r="77" spans="5:6" ht="12.75">
      <c r="E77" s="27"/>
      <c r="F77" s="27"/>
    </row>
    <row r="78" spans="5:6" ht="12.75">
      <c r="E78" s="27"/>
      <c r="F78" s="27"/>
    </row>
    <row r="79" spans="5:6" ht="12.75">
      <c r="E79" s="27"/>
      <c r="F79" s="27"/>
    </row>
    <row r="80" spans="5:6" ht="12.75">
      <c r="E80" s="27"/>
      <c r="F80" s="27"/>
    </row>
    <row r="81" spans="5:6" ht="12.75">
      <c r="E81" s="27"/>
      <c r="F81" s="27"/>
    </row>
    <row r="82" spans="5:6" ht="12.75">
      <c r="E82" s="27"/>
      <c r="F82" s="27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XVI/        /08
z dnia  28 lutego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/>
  <dimension ref="A1:L43"/>
  <sheetViews>
    <sheetView workbookViewId="0" topLeftCell="A1">
      <selection activeCell="D20" sqref="D20:E20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44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16.5" customHeight="1">
      <c r="E1" s="71"/>
      <c r="F1" s="71"/>
      <c r="L1" s="299" t="s">
        <v>166</v>
      </c>
    </row>
    <row r="2" spans="5:12" ht="13.5" customHeight="1">
      <c r="E2" s="72"/>
      <c r="F2" s="72"/>
      <c r="L2" s="36" t="s">
        <v>214</v>
      </c>
    </row>
    <row r="3" spans="5:12" ht="15.75" customHeight="1">
      <c r="E3" s="72"/>
      <c r="F3" s="72"/>
      <c r="L3" s="36" t="s">
        <v>220</v>
      </c>
    </row>
    <row r="4" ht="3" customHeight="1"/>
    <row r="5" spans="1:12" s="73" customFormat="1" ht="16.5">
      <c r="A5" s="350" t="s">
        <v>180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</row>
    <row r="6" spans="1:12" s="73" customFormat="1" ht="15" customHeight="1">
      <c r="A6" s="350" t="s">
        <v>191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</row>
    <row r="7" ht="5.25" customHeight="1"/>
    <row r="8" spans="1:12" s="69" customFormat="1" ht="11.25" customHeight="1">
      <c r="A8" s="362" t="s">
        <v>146</v>
      </c>
      <c r="B8" s="362"/>
      <c r="C8" s="362"/>
      <c r="D8" s="356" t="s">
        <v>13</v>
      </c>
      <c r="E8" s="357"/>
      <c r="F8" s="335" t="s">
        <v>177</v>
      </c>
      <c r="G8" s="335" t="s">
        <v>1</v>
      </c>
      <c r="H8" s="330" t="s">
        <v>168</v>
      </c>
      <c r="I8" s="330"/>
      <c r="J8" s="330"/>
      <c r="K8" s="330"/>
      <c r="L8" s="330"/>
    </row>
    <row r="9" spans="1:12" s="69" customFormat="1" ht="11.25" customHeight="1">
      <c r="A9" s="354" t="s">
        <v>69</v>
      </c>
      <c r="B9" s="354" t="s">
        <v>70</v>
      </c>
      <c r="C9" s="354" t="s">
        <v>142</v>
      </c>
      <c r="D9" s="358"/>
      <c r="E9" s="359"/>
      <c r="F9" s="336"/>
      <c r="G9" s="336"/>
      <c r="H9" s="330" t="s">
        <v>12</v>
      </c>
      <c r="I9" s="330" t="s">
        <v>169</v>
      </c>
      <c r="J9" s="330"/>
      <c r="K9" s="330"/>
      <c r="L9" s="330" t="s">
        <v>55</v>
      </c>
    </row>
    <row r="10" spans="1:12" s="69" customFormat="1" ht="24.75" customHeight="1">
      <c r="A10" s="355"/>
      <c r="B10" s="355"/>
      <c r="C10" s="355"/>
      <c r="D10" s="360"/>
      <c r="E10" s="361"/>
      <c r="F10" s="337"/>
      <c r="G10" s="337"/>
      <c r="H10" s="330"/>
      <c r="I10" s="67" t="s">
        <v>179</v>
      </c>
      <c r="J10" s="67" t="s">
        <v>178</v>
      </c>
      <c r="K10" s="67" t="s">
        <v>0</v>
      </c>
      <c r="L10" s="330"/>
    </row>
    <row r="11" spans="1:12" s="69" customFormat="1" ht="14.25" customHeight="1">
      <c r="A11" s="68">
        <v>1</v>
      </c>
      <c r="B11" s="68">
        <v>2</v>
      </c>
      <c r="C11" s="68">
        <v>3</v>
      </c>
      <c r="D11" s="362">
        <v>4</v>
      </c>
      <c r="E11" s="363"/>
      <c r="F11" s="70">
        <v>5</v>
      </c>
      <c r="G11" s="70">
        <v>6</v>
      </c>
      <c r="H11" s="70">
        <v>7</v>
      </c>
      <c r="I11" s="70">
        <v>8</v>
      </c>
      <c r="J11" s="70">
        <v>9</v>
      </c>
      <c r="K11" s="70">
        <v>10</v>
      </c>
      <c r="L11" s="70">
        <v>11</v>
      </c>
    </row>
    <row r="12" spans="1:12" s="41" customFormat="1" ht="21" customHeight="1">
      <c r="A12" s="342">
        <v>600</v>
      </c>
      <c r="B12" s="342">
        <v>60014</v>
      </c>
      <c r="C12" s="351">
        <v>2310</v>
      </c>
      <c r="D12" s="347" t="s">
        <v>2</v>
      </c>
      <c r="E12" s="340"/>
      <c r="F12" s="74" t="s">
        <v>140</v>
      </c>
      <c r="G12" s="75">
        <f>SUM(H12,L12)</f>
        <v>169800</v>
      </c>
      <c r="H12" s="76">
        <v>169800</v>
      </c>
      <c r="I12" s="77">
        <v>0</v>
      </c>
      <c r="J12" s="78">
        <v>0</v>
      </c>
      <c r="K12" s="78">
        <v>169800</v>
      </c>
      <c r="L12" s="78">
        <v>0</v>
      </c>
    </row>
    <row r="13" spans="1:12" s="41" customFormat="1" ht="12.75" customHeight="1">
      <c r="A13" s="346"/>
      <c r="B13" s="346"/>
      <c r="C13" s="352"/>
      <c r="D13" s="364" t="s">
        <v>5</v>
      </c>
      <c r="E13" s="365"/>
      <c r="F13" s="147"/>
      <c r="G13" s="147"/>
      <c r="H13" s="148"/>
      <c r="I13" s="149"/>
      <c r="J13" s="150"/>
      <c r="K13" s="150"/>
      <c r="L13" s="150"/>
    </row>
    <row r="14" spans="1:12" s="41" customFormat="1" ht="12.75" customHeight="1">
      <c r="A14" s="346"/>
      <c r="B14" s="346"/>
      <c r="C14" s="352"/>
      <c r="D14" s="364" t="s">
        <v>192</v>
      </c>
      <c r="E14" s="365"/>
      <c r="F14" s="147"/>
      <c r="G14" s="147"/>
      <c r="H14" s="148"/>
      <c r="I14" s="149"/>
      <c r="J14" s="150"/>
      <c r="K14" s="150"/>
      <c r="L14" s="150"/>
    </row>
    <row r="15" spans="1:12" s="41" customFormat="1" ht="12.75" customHeight="1">
      <c r="A15" s="346"/>
      <c r="B15" s="346"/>
      <c r="C15" s="352"/>
      <c r="D15" s="364" t="s">
        <v>4</v>
      </c>
      <c r="E15" s="365"/>
      <c r="F15" s="147"/>
      <c r="G15" s="147"/>
      <c r="H15" s="148"/>
      <c r="I15" s="149"/>
      <c r="J15" s="150"/>
      <c r="K15" s="150"/>
      <c r="L15" s="150"/>
    </row>
    <row r="16" spans="1:12" s="41" customFormat="1" ht="12.75" customHeight="1">
      <c r="A16" s="346"/>
      <c r="B16" s="346"/>
      <c r="C16" s="352"/>
      <c r="D16" s="364" t="s">
        <v>3</v>
      </c>
      <c r="E16" s="365"/>
      <c r="F16" s="147"/>
      <c r="G16" s="147"/>
      <c r="H16" s="148"/>
      <c r="I16" s="149"/>
      <c r="J16" s="150"/>
      <c r="K16" s="150"/>
      <c r="L16" s="150"/>
    </row>
    <row r="17" spans="1:12" s="41" customFormat="1" ht="33" customHeight="1">
      <c r="A17" s="343"/>
      <c r="B17" s="343"/>
      <c r="C17" s="353"/>
      <c r="D17" s="364" t="s">
        <v>8</v>
      </c>
      <c r="E17" s="365"/>
      <c r="F17" s="151"/>
      <c r="G17" s="151"/>
      <c r="H17" s="152"/>
      <c r="I17" s="153"/>
      <c r="J17" s="154"/>
      <c r="K17" s="154"/>
      <c r="L17" s="154"/>
    </row>
    <row r="18" spans="1:12" s="65" customFormat="1" ht="21" customHeight="1">
      <c r="A18" s="123">
        <v>600</v>
      </c>
      <c r="B18" s="123">
        <v>60014</v>
      </c>
      <c r="C18" s="125">
        <v>6610</v>
      </c>
      <c r="D18" s="340" t="s">
        <v>197</v>
      </c>
      <c r="E18" s="341"/>
      <c r="F18" s="156">
        <v>450000</v>
      </c>
      <c r="G18" s="156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</row>
    <row r="19" spans="1:12" s="42" customFormat="1" ht="57" customHeight="1">
      <c r="A19" s="136">
        <v>750</v>
      </c>
      <c r="B19" s="136">
        <v>75018</v>
      </c>
      <c r="C19" s="136">
        <v>2330</v>
      </c>
      <c r="D19" s="347" t="s">
        <v>147</v>
      </c>
      <c r="E19" s="347"/>
      <c r="F19" s="157" t="s">
        <v>140</v>
      </c>
      <c r="G19" s="158">
        <v>6000</v>
      </c>
      <c r="H19" s="159">
        <v>6000</v>
      </c>
      <c r="I19" s="159">
        <v>0</v>
      </c>
      <c r="J19" s="159">
        <v>0</v>
      </c>
      <c r="K19" s="159">
        <v>6000</v>
      </c>
      <c r="L19" s="159">
        <v>0</v>
      </c>
    </row>
    <row r="20" spans="1:12" s="66" customFormat="1" ht="47.25" customHeight="1">
      <c r="A20" s="136">
        <v>801</v>
      </c>
      <c r="B20" s="136">
        <v>80120</v>
      </c>
      <c r="C20" s="136">
        <v>2310</v>
      </c>
      <c r="D20" s="347" t="s">
        <v>148</v>
      </c>
      <c r="E20" s="347"/>
      <c r="F20" s="157" t="s">
        <v>140</v>
      </c>
      <c r="G20" s="158">
        <v>14400</v>
      </c>
      <c r="H20" s="159">
        <v>14400</v>
      </c>
      <c r="I20" s="159">
        <v>0</v>
      </c>
      <c r="J20" s="159">
        <v>0</v>
      </c>
      <c r="K20" s="159">
        <v>14400</v>
      </c>
      <c r="L20" s="159">
        <v>0</v>
      </c>
    </row>
    <row r="21" spans="1:12" s="65" customFormat="1" ht="67.5" customHeight="1">
      <c r="A21" s="136">
        <v>801</v>
      </c>
      <c r="B21" s="136">
        <v>80130</v>
      </c>
      <c r="C21" s="136">
        <v>2310</v>
      </c>
      <c r="D21" s="347" t="s">
        <v>162</v>
      </c>
      <c r="E21" s="348"/>
      <c r="F21" s="158">
        <v>28250</v>
      </c>
      <c r="G21" s="92" t="s">
        <v>140</v>
      </c>
      <c r="H21" s="93" t="s">
        <v>140</v>
      </c>
      <c r="I21" s="93" t="s">
        <v>140</v>
      </c>
      <c r="J21" s="93" t="s">
        <v>140</v>
      </c>
      <c r="K21" s="93" t="s">
        <v>140</v>
      </c>
      <c r="L21" s="93" t="s">
        <v>140</v>
      </c>
    </row>
    <row r="22" spans="1:12" s="65" customFormat="1" ht="22.5" customHeight="1">
      <c r="A22" s="136">
        <v>801</v>
      </c>
      <c r="B22" s="136">
        <v>80130</v>
      </c>
      <c r="C22" s="136">
        <v>2310</v>
      </c>
      <c r="D22" s="347" t="s">
        <v>10</v>
      </c>
      <c r="E22" s="347"/>
      <c r="F22" s="157"/>
      <c r="G22" s="158">
        <v>2800</v>
      </c>
      <c r="H22" s="159">
        <v>2800</v>
      </c>
      <c r="I22" s="159">
        <v>0</v>
      </c>
      <c r="J22" s="159">
        <v>0</v>
      </c>
      <c r="K22" s="159">
        <v>2800</v>
      </c>
      <c r="L22" s="159">
        <v>0</v>
      </c>
    </row>
    <row r="23" spans="1:12" ht="33.75" customHeight="1">
      <c r="A23" s="123">
        <v>852</v>
      </c>
      <c r="B23" s="123">
        <v>85201</v>
      </c>
      <c r="C23" s="123">
        <v>2310</v>
      </c>
      <c r="D23" s="347" t="s">
        <v>6</v>
      </c>
      <c r="E23" s="349"/>
      <c r="F23" s="75">
        <v>30164</v>
      </c>
      <c r="G23" s="75" t="s">
        <v>140</v>
      </c>
      <c r="H23" s="76" t="s">
        <v>140</v>
      </c>
      <c r="I23" s="77" t="s">
        <v>140</v>
      </c>
      <c r="J23" s="78" t="s">
        <v>140</v>
      </c>
      <c r="K23" s="78" t="s">
        <v>140</v>
      </c>
      <c r="L23" s="78" t="s">
        <v>140</v>
      </c>
    </row>
    <row r="24" spans="1:12" ht="12.75">
      <c r="A24" s="124"/>
      <c r="B24" s="124"/>
      <c r="C24" s="124"/>
      <c r="D24" s="219">
        <v>1</v>
      </c>
      <c r="E24" s="161" t="s">
        <v>195</v>
      </c>
      <c r="F24" s="151"/>
      <c r="G24" s="151"/>
      <c r="H24" s="152"/>
      <c r="I24" s="153"/>
      <c r="J24" s="154"/>
      <c r="K24" s="154"/>
      <c r="L24" s="154"/>
    </row>
    <row r="25" spans="1:12" ht="34.5" customHeight="1">
      <c r="A25" s="342">
        <v>852</v>
      </c>
      <c r="B25" s="342">
        <v>85201</v>
      </c>
      <c r="C25" s="342">
        <v>2310</v>
      </c>
      <c r="D25" s="344" t="s">
        <v>196</v>
      </c>
      <c r="E25" s="345"/>
      <c r="F25" s="75" t="s">
        <v>140</v>
      </c>
      <c r="G25" s="75">
        <v>9293</v>
      </c>
      <c r="H25" s="76">
        <v>9293</v>
      </c>
      <c r="I25" s="77" t="s">
        <v>140</v>
      </c>
      <c r="J25" s="78" t="s">
        <v>140</v>
      </c>
      <c r="K25" s="78">
        <v>9293</v>
      </c>
      <c r="L25" s="78" t="s">
        <v>140</v>
      </c>
    </row>
    <row r="26" spans="1:12" ht="12" customHeight="1">
      <c r="A26" s="343"/>
      <c r="B26" s="343"/>
      <c r="C26" s="343"/>
      <c r="D26" s="220">
        <v>1</v>
      </c>
      <c r="E26" s="221" t="s">
        <v>200</v>
      </c>
      <c r="F26" s="151"/>
      <c r="G26" s="151"/>
      <c r="H26" s="152"/>
      <c r="I26" s="153"/>
      <c r="J26" s="154"/>
      <c r="K26" s="154"/>
      <c r="L26" s="154"/>
    </row>
    <row r="27" spans="1:12" ht="34.5" customHeight="1">
      <c r="A27" s="342">
        <v>852</v>
      </c>
      <c r="B27" s="342">
        <v>85201</v>
      </c>
      <c r="C27" s="342">
        <v>2310</v>
      </c>
      <c r="D27" s="344" t="s">
        <v>201</v>
      </c>
      <c r="E27" s="345"/>
      <c r="F27" s="75" t="s">
        <v>140</v>
      </c>
      <c r="G27" s="75">
        <v>11026</v>
      </c>
      <c r="H27" s="76">
        <v>11026</v>
      </c>
      <c r="I27" s="77" t="s">
        <v>140</v>
      </c>
      <c r="J27" s="78" t="s">
        <v>140</v>
      </c>
      <c r="K27" s="78">
        <v>11026</v>
      </c>
      <c r="L27" s="78" t="s">
        <v>140</v>
      </c>
    </row>
    <row r="28" spans="1:12" ht="9.75" customHeight="1">
      <c r="A28" s="343"/>
      <c r="B28" s="343"/>
      <c r="C28" s="343"/>
      <c r="D28" s="215">
        <v>1</v>
      </c>
      <c r="E28" s="216" t="s">
        <v>205</v>
      </c>
      <c r="F28" s="151"/>
      <c r="G28" s="151"/>
      <c r="H28" s="84"/>
      <c r="I28" s="85"/>
      <c r="J28" s="86"/>
      <c r="K28" s="86"/>
      <c r="L28" s="86"/>
    </row>
    <row r="29" spans="1:12" ht="55.5" customHeight="1">
      <c r="A29" s="136">
        <v>852</v>
      </c>
      <c r="B29" s="136">
        <v>85201</v>
      </c>
      <c r="C29" s="136">
        <v>2320</v>
      </c>
      <c r="D29" s="347" t="s">
        <v>11</v>
      </c>
      <c r="E29" s="348"/>
      <c r="F29" s="155"/>
      <c r="G29" s="156">
        <v>942486</v>
      </c>
      <c r="H29" s="153">
        <v>942486</v>
      </c>
      <c r="I29" s="153">
        <v>0</v>
      </c>
      <c r="J29" s="153">
        <v>0</v>
      </c>
      <c r="K29" s="153">
        <v>942486</v>
      </c>
      <c r="L29" s="153">
        <v>0</v>
      </c>
    </row>
    <row r="30" spans="1:12" ht="31.5" customHeight="1">
      <c r="A30" s="136">
        <v>852</v>
      </c>
      <c r="B30" s="136">
        <v>85204</v>
      </c>
      <c r="C30" s="136">
        <v>2310</v>
      </c>
      <c r="D30" s="347" t="s">
        <v>164</v>
      </c>
      <c r="E30" s="348"/>
      <c r="F30" s="157" t="s">
        <v>140</v>
      </c>
      <c r="G30" s="158">
        <v>11047</v>
      </c>
      <c r="H30" s="159">
        <v>11047</v>
      </c>
      <c r="I30" s="159">
        <v>0</v>
      </c>
      <c r="J30" s="159">
        <v>0</v>
      </c>
      <c r="K30" s="159">
        <v>11047</v>
      </c>
      <c r="L30" s="159">
        <v>0</v>
      </c>
    </row>
    <row r="31" spans="1:12" ht="33" customHeight="1">
      <c r="A31" s="342">
        <v>852</v>
      </c>
      <c r="B31" s="342">
        <v>85204</v>
      </c>
      <c r="C31" s="342">
        <v>2320</v>
      </c>
      <c r="D31" s="344" t="s">
        <v>224</v>
      </c>
      <c r="E31" s="345"/>
      <c r="F31" s="74" t="s">
        <v>140</v>
      </c>
      <c r="G31" s="75">
        <v>91804</v>
      </c>
      <c r="H31" s="76">
        <v>91804</v>
      </c>
      <c r="I31" s="77">
        <v>0</v>
      </c>
      <c r="J31" s="78">
        <v>0</v>
      </c>
      <c r="K31" s="78">
        <v>91804</v>
      </c>
      <c r="L31" s="78">
        <v>0</v>
      </c>
    </row>
    <row r="32" spans="1:12" ht="12.75">
      <c r="A32" s="346"/>
      <c r="B32" s="346"/>
      <c r="C32" s="346"/>
      <c r="D32" s="217">
        <v>1</v>
      </c>
      <c r="E32" s="218" t="s">
        <v>225</v>
      </c>
      <c r="F32" s="147"/>
      <c r="G32" s="162"/>
      <c r="H32" s="80"/>
      <c r="I32" s="81"/>
      <c r="J32" s="82"/>
      <c r="K32" s="82"/>
      <c r="L32" s="82"/>
    </row>
    <row r="33" spans="1:12" ht="12.75">
      <c r="A33" s="346"/>
      <c r="B33" s="346"/>
      <c r="C33" s="346"/>
      <c r="D33" s="217">
        <v>2</v>
      </c>
      <c r="E33" s="218" t="s">
        <v>226</v>
      </c>
      <c r="F33" s="147"/>
      <c r="G33" s="162"/>
      <c r="H33" s="80"/>
      <c r="I33" s="81"/>
      <c r="J33" s="82"/>
      <c r="K33" s="82"/>
      <c r="L33" s="82"/>
    </row>
    <row r="34" spans="1:12" ht="13.5" customHeight="1">
      <c r="A34" s="346"/>
      <c r="B34" s="346"/>
      <c r="C34" s="346"/>
      <c r="D34" s="217">
        <v>3</v>
      </c>
      <c r="E34" s="218" t="s">
        <v>227</v>
      </c>
      <c r="F34" s="147"/>
      <c r="G34" s="162"/>
      <c r="H34" s="80"/>
      <c r="I34" s="81"/>
      <c r="J34" s="82"/>
      <c r="K34" s="82"/>
      <c r="L34" s="82"/>
    </row>
    <row r="35" spans="1:12" ht="11.25" customHeight="1">
      <c r="A35" s="346"/>
      <c r="B35" s="346"/>
      <c r="C35" s="346"/>
      <c r="D35" s="217">
        <v>4</v>
      </c>
      <c r="E35" s="218" t="s">
        <v>202</v>
      </c>
      <c r="F35" s="147"/>
      <c r="G35" s="162"/>
      <c r="H35" s="80"/>
      <c r="I35" s="81"/>
      <c r="J35" s="82"/>
      <c r="K35" s="82"/>
      <c r="L35" s="82"/>
    </row>
    <row r="36" spans="1:12" ht="10.5" customHeight="1">
      <c r="A36" s="343"/>
      <c r="B36" s="343"/>
      <c r="C36" s="343"/>
      <c r="D36" s="217">
        <v>5</v>
      </c>
      <c r="E36" s="218" t="s">
        <v>228</v>
      </c>
      <c r="F36" s="151"/>
      <c r="G36" s="163"/>
      <c r="H36" s="84"/>
      <c r="I36" s="85"/>
      <c r="J36" s="86"/>
      <c r="K36" s="86"/>
      <c r="L36" s="86"/>
    </row>
    <row r="37" spans="1:12" ht="23.25" customHeight="1">
      <c r="A37" s="342">
        <v>852</v>
      </c>
      <c r="B37" s="342">
        <v>85204</v>
      </c>
      <c r="C37" s="342">
        <v>2320</v>
      </c>
      <c r="D37" s="347" t="s">
        <v>7</v>
      </c>
      <c r="E37" s="340"/>
      <c r="F37" s="75">
        <v>79561</v>
      </c>
      <c r="G37" s="91" t="s">
        <v>140</v>
      </c>
      <c r="H37" s="91" t="s">
        <v>140</v>
      </c>
      <c r="I37" s="94" t="s">
        <v>140</v>
      </c>
      <c r="J37" s="95" t="s">
        <v>140</v>
      </c>
      <c r="K37" s="95" t="s">
        <v>140</v>
      </c>
      <c r="L37" s="95" t="s">
        <v>140</v>
      </c>
    </row>
    <row r="38" spans="1:12" ht="12.75">
      <c r="A38" s="346"/>
      <c r="B38" s="346"/>
      <c r="C38" s="346"/>
      <c r="D38" s="160">
        <v>1</v>
      </c>
      <c r="E38" s="161" t="s">
        <v>9</v>
      </c>
      <c r="F38" s="147"/>
      <c r="G38" s="79"/>
      <c r="H38" s="80"/>
      <c r="I38" s="81"/>
      <c r="J38" s="82"/>
      <c r="K38" s="82"/>
      <c r="L38" s="82"/>
    </row>
    <row r="39" spans="1:12" ht="12.75">
      <c r="A39" s="346"/>
      <c r="B39" s="346"/>
      <c r="C39" s="346"/>
      <c r="D39" s="160">
        <v>2</v>
      </c>
      <c r="E39" s="161" t="s">
        <v>198</v>
      </c>
      <c r="F39" s="147"/>
      <c r="G39" s="79"/>
      <c r="H39" s="80"/>
      <c r="I39" s="81"/>
      <c r="J39" s="82"/>
      <c r="K39" s="82"/>
      <c r="L39" s="82"/>
    </row>
    <row r="40" spans="1:12" ht="12.75">
      <c r="A40" s="346"/>
      <c r="B40" s="346"/>
      <c r="C40" s="346"/>
      <c r="D40" s="160">
        <v>3</v>
      </c>
      <c r="E40" s="161" t="s">
        <v>218</v>
      </c>
      <c r="F40" s="147"/>
      <c r="G40" s="79"/>
      <c r="H40" s="80"/>
      <c r="I40" s="81"/>
      <c r="J40" s="82"/>
      <c r="K40" s="82"/>
      <c r="L40" s="82"/>
    </row>
    <row r="41" spans="1:12" ht="12.75">
      <c r="A41" s="343"/>
      <c r="B41" s="343"/>
      <c r="C41" s="343"/>
      <c r="D41" s="160">
        <v>4</v>
      </c>
      <c r="E41" s="161" t="s">
        <v>199</v>
      </c>
      <c r="F41" s="151"/>
      <c r="G41" s="83"/>
      <c r="H41" s="84"/>
      <c r="I41" s="85"/>
      <c r="J41" s="86"/>
      <c r="K41" s="86"/>
      <c r="L41" s="86"/>
    </row>
    <row r="42" spans="1:12" ht="42" customHeight="1">
      <c r="A42" s="124">
        <v>921</v>
      </c>
      <c r="B42" s="124">
        <v>92116</v>
      </c>
      <c r="C42" s="124">
        <v>2310</v>
      </c>
      <c r="D42" s="338" t="s">
        <v>149</v>
      </c>
      <c r="E42" s="338"/>
      <c r="F42" s="153" t="s">
        <v>140</v>
      </c>
      <c r="G42" s="214">
        <v>54000</v>
      </c>
      <c r="H42" s="153">
        <v>54000</v>
      </c>
      <c r="I42" s="153">
        <v>0</v>
      </c>
      <c r="J42" s="153">
        <v>0</v>
      </c>
      <c r="K42" s="153">
        <v>54000</v>
      </c>
      <c r="L42" s="153">
        <v>0</v>
      </c>
    </row>
    <row r="43" spans="1:12" ht="15.75">
      <c r="A43" s="339" t="s">
        <v>137</v>
      </c>
      <c r="B43" s="339"/>
      <c r="C43" s="339"/>
      <c r="D43" s="339"/>
      <c r="E43" s="339"/>
      <c r="F43" s="122">
        <f aca="true" t="shared" si="0" ref="F43:L43">SUM(F12:F42)</f>
        <v>587975</v>
      </c>
      <c r="G43" s="122">
        <f t="shared" si="0"/>
        <v>1312656</v>
      </c>
      <c r="H43" s="122">
        <f t="shared" si="0"/>
        <v>1312656</v>
      </c>
      <c r="I43" s="122">
        <f t="shared" si="0"/>
        <v>0</v>
      </c>
      <c r="J43" s="122">
        <f t="shared" si="0"/>
        <v>0</v>
      </c>
      <c r="K43" s="122">
        <f t="shared" si="0"/>
        <v>1312656</v>
      </c>
      <c r="L43" s="122">
        <f t="shared" si="0"/>
        <v>0</v>
      </c>
    </row>
  </sheetData>
  <mergeCells count="49">
    <mergeCell ref="D20:E20"/>
    <mergeCell ref="D15:E15"/>
    <mergeCell ref="D16:E16"/>
    <mergeCell ref="D17:E17"/>
    <mergeCell ref="D19:E19"/>
    <mergeCell ref="D11:E11"/>
    <mergeCell ref="D12:E12"/>
    <mergeCell ref="D13:E13"/>
    <mergeCell ref="D14:E14"/>
    <mergeCell ref="L9:L10"/>
    <mergeCell ref="A9:A10"/>
    <mergeCell ref="B9:B10"/>
    <mergeCell ref="C9:C10"/>
    <mergeCell ref="D8:E10"/>
    <mergeCell ref="F8:F10"/>
    <mergeCell ref="G8:G10"/>
    <mergeCell ref="A8:C8"/>
    <mergeCell ref="H9:H10"/>
    <mergeCell ref="D23:E23"/>
    <mergeCell ref="D21:E21"/>
    <mergeCell ref="D22:E22"/>
    <mergeCell ref="A5:L5"/>
    <mergeCell ref="A6:L6"/>
    <mergeCell ref="A12:A17"/>
    <mergeCell ref="B12:B17"/>
    <mergeCell ref="C12:C17"/>
    <mergeCell ref="H8:L8"/>
    <mergeCell ref="I9:K9"/>
    <mergeCell ref="A25:A26"/>
    <mergeCell ref="B25:B26"/>
    <mergeCell ref="C25:C26"/>
    <mergeCell ref="D25:E25"/>
    <mergeCell ref="D37:E37"/>
    <mergeCell ref="D29:E29"/>
    <mergeCell ref="D30:E30"/>
    <mergeCell ref="A31:A36"/>
    <mergeCell ref="B31:B36"/>
    <mergeCell ref="C31:C36"/>
    <mergeCell ref="D31:E31"/>
    <mergeCell ref="D42:E42"/>
    <mergeCell ref="A43:E43"/>
    <mergeCell ref="D18:E18"/>
    <mergeCell ref="A27:A28"/>
    <mergeCell ref="B27:B28"/>
    <mergeCell ref="C27:C28"/>
    <mergeCell ref="D27:E27"/>
    <mergeCell ref="A37:A41"/>
    <mergeCell ref="B37:B41"/>
    <mergeCell ref="C37:C41"/>
  </mergeCells>
  <printOptions/>
  <pageMargins left="0.77" right="0.61" top="0.9" bottom="0.22" header="0.21" footer="0.26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F15"/>
  <sheetViews>
    <sheetView workbookViewId="0" topLeftCell="A1">
      <selection activeCell="G8" sqref="G8"/>
    </sheetView>
  </sheetViews>
  <sheetFormatPr defaultColWidth="9.00390625" defaultRowHeight="12.75"/>
  <cols>
    <col min="1" max="1" width="8.875" style="0" customWidth="1"/>
    <col min="4" max="4" width="64.25390625" style="0" customWidth="1"/>
    <col min="5" max="5" width="18.625" style="0" customWidth="1"/>
  </cols>
  <sheetData>
    <row r="1" spans="3:6" ht="15">
      <c r="C1" s="37"/>
      <c r="D1" s="37"/>
      <c r="E1" s="298" t="s">
        <v>167</v>
      </c>
      <c r="F1" s="50"/>
    </row>
    <row r="2" spans="3:6" ht="14.25">
      <c r="C2" s="36"/>
      <c r="D2" s="36"/>
      <c r="E2" s="36" t="s">
        <v>214</v>
      </c>
      <c r="F2" s="53"/>
    </row>
    <row r="3" spans="3:6" ht="14.25">
      <c r="C3" s="36"/>
      <c r="D3" s="36"/>
      <c r="E3" s="36" t="s">
        <v>220</v>
      </c>
      <c r="F3" s="53"/>
    </row>
    <row r="5" spans="4:5" ht="18">
      <c r="D5" s="21" t="s">
        <v>193</v>
      </c>
      <c r="E5" s="2"/>
    </row>
    <row r="6" ht="12.75">
      <c r="E6" s="45" t="s">
        <v>130</v>
      </c>
    </row>
    <row r="7" spans="1:5" s="87" customFormat="1" ht="12.75">
      <c r="A7" s="367" t="s">
        <v>69</v>
      </c>
      <c r="B7" s="367" t="s">
        <v>70</v>
      </c>
      <c r="C7" s="369" t="s">
        <v>142</v>
      </c>
      <c r="D7" s="131"/>
      <c r="E7" s="131"/>
    </row>
    <row r="8" spans="1:5" s="109" customFormat="1" ht="12.75">
      <c r="A8" s="368"/>
      <c r="B8" s="368"/>
      <c r="C8" s="329"/>
      <c r="D8" s="127" t="s">
        <v>71</v>
      </c>
      <c r="E8" s="127" t="s">
        <v>72</v>
      </c>
    </row>
    <row r="9" spans="1:5" s="109" customFormat="1" ht="12.75">
      <c r="A9" s="368"/>
      <c r="B9" s="368"/>
      <c r="C9" s="329"/>
      <c r="D9" s="132"/>
      <c r="E9" s="132"/>
    </row>
    <row r="10" spans="1:5" s="113" customFormat="1" ht="14.25" customHeight="1">
      <c r="A10" s="129">
        <v>1</v>
      </c>
      <c r="B10" s="129">
        <v>2</v>
      </c>
      <c r="C10" s="130">
        <v>3</v>
      </c>
      <c r="D10" s="133">
        <v>4</v>
      </c>
      <c r="E10" s="134">
        <v>5</v>
      </c>
    </row>
    <row r="11" spans="1:5" s="113" customFormat="1" ht="18" customHeight="1">
      <c r="A11" s="135">
        <v>851</v>
      </c>
      <c r="B11" s="135"/>
      <c r="C11" s="136"/>
      <c r="D11" s="137" t="s">
        <v>160</v>
      </c>
      <c r="E11" s="138">
        <f>SUM(E12)</f>
        <v>1149200</v>
      </c>
    </row>
    <row r="12" spans="1:5" s="113" customFormat="1" ht="18" customHeight="1">
      <c r="A12" s="139"/>
      <c r="B12" s="140">
        <v>85111</v>
      </c>
      <c r="C12" s="136"/>
      <c r="D12" s="141" t="s">
        <v>161</v>
      </c>
      <c r="E12" s="142">
        <f>SUM(E13:E13)</f>
        <v>1149200</v>
      </c>
    </row>
    <row r="13" spans="1:5" s="113" customFormat="1" ht="56.25" customHeight="1">
      <c r="A13" s="128"/>
      <c r="B13" s="143"/>
      <c r="C13" s="136">
        <v>6220</v>
      </c>
      <c r="D13" s="144" t="s">
        <v>194</v>
      </c>
      <c r="E13" s="145">
        <v>1149200</v>
      </c>
    </row>
    <row r="14" spans="1:5" s="111" customFormat="1" ht="21.75" customHeight="1">
      <c r="A14" s="370" t="s">
        <v>159</v>
      </c>
      <c r="B14" s="371"/>
      <c r="C14" s="371"/>
      <c r="D14" s="372"/>
      <c r="E14" s="146">
        <f>SUM(E11)</f>
        <v>1149200</v>
      </c>
    </row>
    <row r="15" ht="25.5" customHeight="1">
      <c r="A15" s="60"/>
    </row>
  </sheetData>
  <mergeCells count="4">
    <mergeCell ref="A7:A9"/>
    <mergeCell ref="B7:B9"/>
    <mergeCell ref="C7:C9"/>
    <mergeCell ref="A14:D14"/>
  </mergeCells>
  <printOptions/>
  <pageMargins left="1.33" right="0.75" top="1.5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J50"/>
  <sheetViews>
    <sheetView workbookViewId="0" topLeftCell="A1">
      <selection activeCell="B24" sqref="B24"/>
    </sheetView>
  </sheetViews>
  <sheetFormatPr defaultColWidth="9.00390625" defaultRowHeight="12.75"/>
  <cols>
    <col min="1" max="1" width="5.25390625" style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3" ht="14.25">
      <c r="A1" s="59"/>
      <c r="C1" s="36" t="s">
        <v>213</v>
      </c>
    </row>
    <row r="2" ht="14.25">
      <c r="C2" s="36" t="s">
        <v>214</v>
      </c>
    </row>
    <row r="3" ht="14.25">
      <c r="C3" s="36" t="s">
        <v>220</v>
      </c>
    </row>
    <row r="4" ht="6.75" customHeight="1"/>
    <row r="5" spans="1:10" ht="19.5" customHeight="1">
      <c r="A5" s="373" t="s">
        <v>97</v>
      </c>
      <c r="B5" s="373"/>
      <c r="C5" s="373"/>
      <c r="D5" s="6"/>
      <c r="E5" s="6"/>
      <c r="F5" s="6"/>
      <c r="G5" s="6"/>
      <c r="H5" s="6"/>
      <c r="I5" s="6"/>
      <c r="J5" s="6"/>
    </row>
    <row r="6" spans="1:7" ht="19.5" customHeight="1">
      <c r="A6" s="373" t="s">
        <v>63</v>
      </c>
      <c r="B6" s="373"/>
      <c r="C6" s="373"/>
      <c r="D6" s="6"/>
      <c r="E6" s="6"/>
      <c r="F6" s="6"/>
      <c r="G6" s="6"/>
    </row>
    <row r="7" ht="6" customHeight="1"/>
    <row r="8" ht="12.75">
      <c r="C8" s="11" t="s">
        <v>129</v>
      </c>
    </row>
    <row r="9" spans="1:10" s="110" customFormat="1" ht="19.5" customHeight="1">
      <c r="A9" s="300" t="s">
        <v>74</v>
      </c>
      <c r="B9" s="300" t="s">
        <v>67</v>
      </c>
      <c r="C9" s="300" t="s">
        <v>203</v>
      </c>
      <c r="D9" s="114"/>
      <c r="E9" s="114"/>
      <c r="F9" s="114"/>
      <c r="G9" s="114"/>
      <c r="H9" s="114"/>
      <c r="I9" s="115"/>
      <c r="J9" s="115"/>
    </row>
    <row r="10" spans="1:10" s="112" customFormat="1" ht="19.5" customHeight="1">
      <c r="A10" s="304" t="s">
        <v>76</v>
      </c>
      <c r="B10" s="223" t="s">
        <v>99</v>
      </c>
      <c r="C10" s="305">
        <f>SUM(C11:C12,-C13)</f>
        <v>473540</v>
      </c>
      <c r="D10" s="116"/>
      <c r="E10" s="116"/>
      <c r="F10" s="116"/>
      <c r="G10" s="116"/>
      <c r="H10" s="116"/>
      <c r="I10" s="117"/>
      <c r="J10" s="117"/>
    </row>
    <row r="11" spans="1:10" s="112" customFormat="1" ht="15.75" customHeight="1">
      <c r="A11" s="306" t="s">
        <v>77</v>
      </c>
      <c r="B11" s="307" t="s">
        <v>103</v>
      </c>
      <c r="C11" s="308">
        <v>478296</v>
      </c>
      <c r="D11" s="116"/>
      <c r="E11" s="116"/>
      <c r="F11" s="116"/>
      <c r="G11" s="116"/>
      <c r="H11" s="116"/>
      <c r="I11" s="117"/>
      <c r="J11" s="117"/>
    </row>
    <row r="12" spans="1:10" s="112" customFormat="1" ht="15" customHeight="1">
      <c r="A12" s="306" t="s">
        <v>78</v>
      </c>
      <c r="B12" s="307" t="s">
        <v>102</v>
      </c>
      <c r="C12" s="308">
        <v>24384</v>
      </c>
      <c r="D12" s="116"/>
      <c r="E12" s="116"/>
      <c r="F12" s="116"/>
      <c r="G12" s="116"/>
      <c r="H12" s="116"/>
      <c r="I12" s="117"/>
      <c r="J12" s="117"/>
    </row>
    <row r="13" spans="1:10" s="112" customFormat="1" ht="15.75" customHeight="1">
      <c r="A13" s="306" t="s">
        <v>79</v>
      </c>
      <c r="B13" s="307" t="s">
        <v>101</v>
      </c>
      <c r="C13" s="308">
        <v>29140</v>
      </c>
      <c r="D13" s="116"/>
      <c r="E13" s="116"/>
      <c r="F13" s="116"/>
      <c r="G13" s="116"/>
      <c r="H13" s="116"/>
      <c r="I13" s="117"/>
      <c r="J13" s="117"/>
    </row>
    <row r="14" spans="1:10" s="112" customFormat="1" ht="16.5" customHeight="1">
      <c r="A14" s="306" t="s">
        <v>68</v>
      </c>
      <c r="B14" s="307" t="s">
        <v>175</v>
      </c>
      <c r="C14" s="308">
        <v>0</v>
      </c>
      <c r="D14" s="116"/>
      <c r="E14" s="116"/>
      <c r="F14" s="116"/>
      <c r="G14" s="116"/>
      <c r="H14" s="116"/>
      <c r="I14" s="117"/>
      <c r="J14" s="117"/>
    </row>
    <row r="15" spans="1:10" s="112" customFormat="1" ht="19.5" customHeight="1">
      <c r="A15" s="304" t="s">
        <v>80</v>
      </c>
      <c r="B15" s="223" t="s">
        <v>75</v>
      </c>
      <c r="C15" s="305">
        <f>SUM(C16:C18)</f>
        <v>400000</v>
      </c>
      <c r="D15" s="116"/>
      <c r="E15" s="116"/>
      <c r="F15" s="116"/>
      <c r="G15" s="116"/>
      <c r="H15" s="116"/>
      <c r="I15" s="117"/>
      <c r="J15" s="117"/>
    </row>
    <row r="16" spans="1:10" s="112" customFormat="1" ht="14.25" customHeight="1">
      <c r="A16" s="306" t="s">
        <v>77</v>
      </c>
      <c r="B16" s="224" t="s">
        <v>64</v>
      </c>
      <c r="C16" s="308">
        <v>385000</v>
      </c>
      <c r="D16" s="116"/>
      <c r="E16" s="116"/>
      <c r="F16" s="116"/>
      <c r="G16" s="116"/>
      <c r="H16" s="116"/>
      <c r="I16" s="117"/>
      <c r="J16" s="117"/>
    </row>
    <row r="17" spans="1:10" s="112" customFormat="1" ht="16.5" customHeight="1">
      <c r="A17" s="306" t="s">
        <v>78</v>
      </c>
      <c r="B17" s="224" t="s">
        <v>163</v>
      </c>
      <c r="C17" s="308">
        <v>15000</v>
      </c>
      <c r="D17" s="116"/>
      <c r="E17" s="116"/>
      <c r="F17" s="116"/>
      <c r="G17" s="116"/>
      <c r="H17" s="116"/>
      <c r="I17" s="117"/>
      <c r="J17" s="117"/>
    </row>
    <row r="18" spans="1:10" s="112" customFormat="1" ht="2.25" customHeight="1" hidden="1">
      <c r="A18" s="309"/>
      <c r="B18" s="301"/>
      <c r="C18" s="310"/>
      <c r="D18" s="116"/>
      <c r="E18" s="116"/>
      <c r="F18" s="116"/>
      <c r="G18" s="116"/>
      <c r="H18" s="116"/>
      <c r="I18" s="117"/>
      <c r="J18" s="117"/>
    </row>
    <row r="19" spans="1:10" s="112" customFormat="1" ht="19.5" customHeight="1">
      <c r="A19" s="304" t="s">
        <v>136</v>
      </c>
      <c r="B19" s="311" t="s">
        <v>137</v>
      </c>
      <c r="C19" s="305">
        <f>C10+C15</f>
        <v>873540</v>
      </c>
      <c r="D19" s="116"/>
      <c r="E19" s="116"/>
      <c r="F19" s="116"/>
      <c r="G19" s="116"/>
      <c r="H19" s="116"/>
      <c r="I19" s="117"/>
      <c r="J19" s="117"/>
    </row>
    <row r="20" spans="1:10" s="112" customFormat="1" ht="16.5" customHeight="1">
      <c r="A20" s="304" t="s">
        <v>81</v>
      </c>
      <c r="B20" s="223" t="s">
        <v>73</v>
      </c>
      <c r="C20" s="305">
        <f>C21+C31+C33</f>
        <v>847000</v>
      </c>
      <c r="D20" s="116"/>
      <c r="E20" s="116"/>
      <c r="F20" s="116"/>
      <c r="G20" s="116"/>
      <c r="H20" s="116"/>
      <c r="I20" s="117"/>
      <c r="J20" s="117"/>
    </row>
    <row r="21" spans="1:10" s="112" customFormat="1" ht="19.5" customHeight="1">
      <c r="A21" s="306" t="s">
        <v>77</v>
      </c>
      <c r="B21" s="223" t="s">
        <v>144</v>
      </c>
      <c r="C21" s="305">
        <f>SUM(C22:C30)</f>
        <v>617000</v>
      </c>
      <c r="D21" s="116"/>
      <c r="E21" s="116"/>
      <c r="F21" s="116"/>
      <c r="G21" s="116"/>
      <c r="H21" s="116"/>
      <c r="I21" s="117"/>
      <c r="J21" s="117"/>
    </row>
    <row r="22" spans="1:10" s="112" customFormat="1" ht="17.25" customHeight="1">
      <c r="A22" s="306"/>
      <c r="B22" s="222" t="s">
        <v>139</v>
      </c>
      <c r="C22" s="308">
        <v>40000</v>
      </c>
      <c r="D22" s="116"/>
      <c r="E22" s="116"/>
      <c r="F22" s="116"/>
      <c r="G22" s="116"/>
      <c r="H22" s="116"/>
      <c r="I22" s="117"/>
      <c r="J22" s="117"/>
    </row>
    <row r="23" spans="1:10" s="112" customFormat="1" ht="16.5" customHeight="1">
      <c r="A23" s="306"/>
      <c r="B23" s="222" t="s">
        <v>165</v>
      </c>
      <c r="C23" s="308">
        <v>25000</v>
      </c>
      <c r="D23" s="116"/>
      <c r="E23" s="116"/>
      <c r="F23" s="116"/>
      <c r="G23" s="116"/>
      <c r="H23" s="116"/>
      <c r="I23" s="117"/>
      <c r="J23" s="117"/>
    </row>
    <row r="24" spans="1:10" s="112" customFormat="1" ht="16.5" customHeight="1">
      <c r="A24" s="306"/>
      <c r="B24" s="222" t="s">
        <v>65</v>
      </c>
      <c r="C24" s="308">
        <v>40000</v>
      </c>
      <c r="D24" s="116"/>
      <c r="E24" s="116"/>
      <c r="F24" s="116"/>
      <c r="G24" s="116"/>
      <c r="H24" s="116"/>
      <c r="I24" s="117"/>
      <c r="J24" s="117"/>
    </row>
    <row r="25" spans="1:10" s="112" customFormat="1" ht="16.5" customHeight="1">
      <c r="A25" s="306"/>
      <c r="B25" s="222" t="s">
        <v>66</v>
      </c>
      <c r="C25" s="308">
        <f>407000-90000+130000</f>
        <v>447000</v>
      </c>
      <c r="D25" s="116"/>
      <c r="E25" s="116"/>
      <c r="F25" s="116"/>
      <c r="G25" s="116"/>
      <c r="H25" s="116"/>
      <c r="I25" s="117"/>
      <c r="J25" s="117"/>
    </row>
    <row r="26" spans="1:10" s="112" customFormat="1" ht="31.5" customHeight="1">
      <c r="A26" s="306"/>
      <c r="B26" s="303" t="s">
        <v>215</v>
      </c>
      <c r="C26" s="308">
        <v>2000</v>
      </c>
      <c r="D26" s="116"/>
      <c r="E26" s="116"/>
      <c r="F26" s="116"/>
      <c r="G26" s="116"/>
      <c r="H26" s="116"/>
      <c r="I26" s="117"/>
      <c r="J26" s="117"/>
    </row>
    <row r="27" spans="1:10" s="112" customFormat="1" ht="15" customHeight="1">
      <c r="A27" s="306"/>
      <c r="B27" s="302" t="s">
        <v>216</v>
      </c>
      <c r="C27" s="308">
        <v>14000</v>
      </c>
      <c r="D27" s="116"/>
      <c r="E27" s="116"/>
      <c r="F27" s="116"/>
      <c r="G27" s="116"/>
      <c r="H27" s="116"/>
      <c r="I27" s="117"/>
      <c r="J27" s="117"/>
    </row>
    <row r="28" spans="1:10" s="112" customFormat="1" ht="30" customHeight="1">
      <c r="A28" s="306"/>
      <c r="B28" s="303" t="s">
        <v>217</v>
      </c>
      <c r="C28" s="308">
        <v>6000</v>
      </c>
      <c r="D28" s="116"/>
      <c r="E28" s="116"/>
      <c r="F28" s="116"/>
      <c r="G28" s="116"/>
      <c r="H28" s="116"/>
      <c r="I28" s="117"/>
      <c r="J28" s="117"/>
    </row>
    <row r="29" spans="1:10" s="112" customFormat="1" ht="32.25" customHeight="1">
      <c r="A29" s="306"/>
      <c r="B29" s="303" t="s">
        <v>206</v>
      </c>
      <c r="C29" s="308">
        <v>8000</v>
      </c>
      <c r="D29" s="116"/>
      <c r="E29" s="116"/>
      <c r="F29" s="116"/>
      <c r="G29" s="116"/>
      <c r="H29" s="116"/>
      <c r="I29" s="117"/>
      <c r="J29" s="117"/>
    </row>
    <row r="30" spans="1:10" s="112" customFormat="1" ht="33" customHeight="1">
      <c r="A30" s="306"/>
      <c r="B30" s="303" t="s">
        <v>207</v>
      </c>
      <c r="C30" s="308">
        <v>35000</v>
      </c>
      <c r="D30" s="116"/>
      <c r="E30" s="116"/>
      <c r="F30" s="116"/>
      <c r="G30" s="116"/>
      <c r="H30" s="116"/>
      <c r="I30" s="117"/>
      <c r="J30" s="117"/>
    </row>
    <row r="31" spans="1:10" s="112" customFormat="1" ht="19.5" customHeight="1">
      <c r="A31" s="306" t="s">
        <v>78</v>
      </c>
      <c r="B31" s="223" t="s">
        <v>145</v>
      </c>
      <c r="C31" s="305">
        <f>SUM(C32:C32)</f>
        <v>150000</v>
      </c>
      <c r="D31" s="116"/>
      <c r="E31" s="116"/>
      <c r="F31" s="116"/>
      <c r="G31" s="116"/>
      <c r="H31" s="116"/>
      <c r="I31" s="117"/>
      <c r="J31" s="117"/>
    </row>
    <row r="32" spans="1:10" s="112" customFormat="1" ht="16.5" customHeight="1">
      <c r="A32" s="306"/>
      <c r="B32" s="312" t="s">
        <v>138</v>
      </c>
      <c r="C32" s="308">
        <f>60000+90000</f>
        <v>150000</v>
      </c>
      <c r="D32" s="116"/>
      <c r="E32" s="116"/>
      <c r="F32" s="116"/>
      <c r="G32" s="116"/>
      <c r="H32" s="116"/>
      <c r="I32" s="117"/>
      <c r="J32" s="117"/>
    </row>
    <row r="33" spans="1:10" s="112" customFormat="1" ht="15.75">
      <c r="A33" s="306" t="s">
        <v>79</v>
      </c>
      <c r="B33" s="313" t="s">
        <v>181</v>
      </c>
      <c r="C33" s="305">
        <f>SUM(C34:C35)</f>
        <v>80000</v>
      </c>
      <c r="D33" s="116"/>
      <c r="E33" s="116"/>
      <c r="F33" s="116"/>
      <c r="G33" s="116"/>
      <c r="H33" s="116"/>
      <c r="I33" s="117"/>
      <c r="J33" s="117"/>
    </row>
    <row r="34" spans="1:10" s="112" customFormat="1" ht="30">
      <c r="A34" s="306" t="s">
        <v>182</v>
      </c>
      <c r="B34" s="312" t="s">
        <v>183</v>
      </c>
      <c r="C34" s="308">
        <v>40000</v>
      </c>
      <c r="D34" s="116"/>
      <c r="E34" s="116"/>
      <c r="F34" s="116"/>
      <c r="G34" s="116"/>
      <c r="H34" s="116"/>
      <c r="I34" s="117"/>
      <c r="J34" s="117"/>
    </row>
    <row r="35" spans="1:10" s="112" customFormat="1" ht="30">
      <c r="A35" s="306" t="s">
        <v>184</v>
      </c>
      <c r="B35" s="312" t="s">
        <v>185</v>
      </c>
      <c r="C35" s="308">
        <v>40000</v>
      </c>
      <c r="D35" s="116"/>
      <c r="E35" s="116"/>
      <c r="F35" s="116"/>
      <c r="G35" s="116"/>
      <c r="H35" s="116"/>
      <c r="I35" s="117"/>
      <c r="J35" s="117"/>
    </row>
    <row r="36" spans="1:10" s="112" customFormat="1" ht="19.5" customHeight="1">
      <c r="A36" s="304" t="s">
        <v>98</v>
      </c>
      <c r="B36" s="223" t="s">
        <v>100</v>
      </c>
      <c r="C36" s="305">
        <f>SUM(C10+C15-C20)</f>
        <v>26540</v>
      </c>
      <c r="D36" s="116"/>
      <c r="E36" s="116"/>
      <c r="F36" s="116"/>
      <c r="G36" s="116"/>
      <c r="H36" s="116"/>
      <c r="I36" s="117"/>
      <c r="J36" s="117"/>
    </row>
    <row r="37" spans="1:10" s="112" customFormat="1" ht="16.5" customHeight="1">
      <c r="A37" s="306" t="s">
        <v>77</v>
      </c>
      <c r="B37" s="307" t="s">
        <v>103</v>
      </c>
      <c r="C37" s="308">
        <v>20000</v>
      </c>
      <c r="D37" s="116"/>
      <c r="E37" s="116"/>
      <c r="F37" s="116"/>
      <c r="G37" s="116"/>
      <c r="H37" s="116"/>
      <c r="I37" s="117"/>
      <c r="J37" s="117"/>
    </row>
    <row r="38" spans="1:10" s="112" customFormat="1" ht="15.75" customHeight="1">
      <c r="A38" s="306" t="s">
        <v>78</v>
      </c>
      <c r="B38" s="307" t="s">
        <v>102</v>
      </c>
      <c r="C38" s="308">
        <v>8000</v>
      </c>
      <c r="D38" s="116"/>
      <c r="E38" s="116"/>
      <c r="F38" s="116"/>
      <c r="G38" s="116"/>
      <c r="H38" s="116"/>
      <c r="I38" s="117"/>
      <c r="J38" s="117"/>
    </row>
    <row r="39" spans="1:10" s="112" customFormat="1" ht="16.5" customHeight="1">
      <c r="A39" s="306" t="s">
        <v>79</v>
      </c>
      <c r="B39" s="307" t="s">
        <v>101</v>
      </c>
      <c r="C39" s="308">
        <v>1460</v>
      </c>
      <c r="D39" s="116"/>
      <c r="E39" s="116"/>
      <c r="F39" s="116"/>
      <c r="G39" s="116"/>
      <c r="H39" s="116"/>
      <c r="I39" s="117"/>
      <c r="J39" s="117"/>
    </row>
    <row r="40" spans="1:10" ht="15">
      <c r="A40" s="7"/>
      <c r="B40" s="7"/>
      <c r="C40" s="7"/>
      <c r="D40" s="7"/>
      <c r="E40" s="7"/>
      <c r="F40" s="7"/>
      <c r="G40" s="7"/>
      <c r="H40" s="7"/>
      <c r="I40" s="8"/>
      <c r="J40" s="8"/>
    </row>
    <row r="41" spans="1:10" ht="15">
      <c r="A41" s="7"/>
      <c r="B41" s="7"/>
      <c r="C41" s="64"/>
      <c r="D41" s="7"/>
      <c r="E41" s="7"/>
      <c r="F41" s="7"/>
      <c r="G41" s="7"/>
      <c r="H41" s="7"/>
      <c r="I41" s="8"/>
      <c r="J41" s="8"/>
    </row>
    <row r="42" spans="1:10" ht="15">
      <c r="A42" s="7"/>
      <c r="B42" s="7"/>
      <c r="C42" s="7"/>
      <c r="D42" s="7"/>
      <c r="E42" s="7"/>
      <c r="F42" s="7"/>
      <c r="G42" s="7"/>
      <c r="H42" s="7"/>
      <c r="I42" s="8"/>
      <c r="J42" s="8"/>
    </row>
    <row r="43" spans="1:10" ht="15">
      <c r="A43" s="7"/>
      <c r="B43" s="7"/>
      <c r="C43" s="7"/>
      <c r="D43" s="7"/>
      <c r="E43" s="7"/>
      <c r="F43" s="7"/>
      <c r="G43" s="7"/>
      <c r="H43" s="7"/>
      <c r="I43" s="8"/>
      <c r="J43" s="8"/>
    </row>
    <row r="44" spans="1:10" ht="15">
      <c r="A44" s="7"/>
      <c r="B44" s="7"/>
      <c r="C44" s="7"/>
      <c r="D44" s="7"/>
      <c r="E44" s="7"/>
      <c r="F44" s="7"/>
      <c r="G44" s="7"/>
      <c r="H44" s="7"/>
      <c r="I44" s="8"/>
      <c r="J44" s="8"/>
    </row>
    <row r="45" spans="1:10" ht="15">
      <c r="A45" s="7"/>
      <c r="B45" s="7"/>
      <c r="C45" s="7"/>
      <c r="D45" s="7"/>
      <c r="E45" s="7"/>
      <c r="F45" s="7"/>
      <c r="G45" s="7"/>
      <c r="H45" s="7"/>
      <c r="I45" s="8"/>
      <c r="J45" s="8"/>
    </row>
    <row r="46" spans="1:10" ht="15">
      <c r="A46" s="7"/>
      <c r="B46" s="7"/>
      <c r="C46" s="7"/>
      <c r="D46" s="7"/>
      <c r="E46" s="7"/>
      <c r="F46" s="7"/>
      <c r="G46" s="7"/>
      <c r="H46" s="7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</sheetData>
  <mergeCells count="2">
    <mergeCell ref="A5:C5"/>
    <mergeCell ref="A6:C6"/>
  </mergeCells>
  <printOptions/>
  <pageMargins left="1.02" right="0.75" top="0.3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M25"/>
  <sheetViews>
    <sheetView workbookViewId="0" topLeftCell="A1">
      <selection activeCell="O15" sqref="O15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47" customFormat="1" ht="15.75">
      <c r="B1" s="48"/>
      <c r="C1" s="49"/>
      <c r="D1" s="50"/>
      <c r="E1" s="58"/>
      <c r="F1" s="58"/>
      <c r="G1" s="36" t="s">
        <v>176</v>
      </c>
      <c r="I1" s="50"/>
      <c r="J1" s="58"/>
      <c r="K1" s="58"/>
      <c r="L1" s="58"/>
      <c r="M1" s="36" t="s">
        <v>176</v>
      </c>
    </row>
    <row r="2" spans="2:13" s="47" customFormat="1" ht="15">
      <c r="B2" s="51"/>
      <c r="C2" s="52"/>
      <c r="D2" s="53"/>
      <c r="E2" s="59"/>
      <c r="F2" s="59"/>
      <c r="G2" s="36" t="s">
        <v>214</v>
      </c>
      <c r="I2" s="53"/>
      <c r="J2" s="40"/>
      <c r="K2" s="40"/>
      <c r="L2" s="40"/>
      <c r="M2" s="36" t="s">
        <v>214</v>
      </c>
    </row>
    <row r="3" spans="2:13" s="47" customFormat="1" ht="15">
      <c r="B3" s="51"/>
      <c r="C3" s="54"/>
      <c r="D3" s="53"/>
      <c r="E3" s="59"/>
      <c r="F3" s="59"/>
      <c r="G3" s="36" t="s">
        <v>220</v>
      </c>
      <c r="I3" s="53"/>
      <c r="J3" s="40"/>
      <c r="K3" s="40"/>
      <c r="L3" s="40"/>
      <c r="M3" s="36" t="s">
        <v>220</v>
      </c>
    </row>
    <row r="4" s="55" customFormat="1" ht="12.75">
      <c r="D4" s="54"/>
    </row>
    <row r="5" ht="12.75">
      <c r="D5" s="56"/>
    </row>
    <row r="6" ht="12.75">
      <c r="D6" s="56"/>
    </row>
    <row r="8" spans="2:6" ht="18">
      <c r="B8" s="2"/>
      <c r="C8" s="2"/>
      <c r="D8" s="2"/>
      <c r="E8" s="2"/>
      <c r="F8" s="2"/>
    </row>
    <row r="9" spans="1:3" ht="18">
      <c r="A9" s="20"/>
      <c r="B9" s="20"/>
      <c r="C9" s="20"/>
    </row>
    <row r="10" spans="4:12" s="1" customFormat="1" ht="15.75">
      <c r="D10" s="43"/>
      <c r="E10" s="43"/>
      <c r="F10" s="46"/>
      <c r="G10" s="1" t="s">
        <v>130</v>
      </c>
      <c r="L10" s="1" t="s">
        <v>130</v>
      </c>
    </row>
    <row r="11" spans="1:13" s="118" customFormat="1" ht="35.25" customHeight="1">
      <c r="A11" s="366" t="s">
        <v>133</v>
      </c>
      <c r="B11" s="366" t="s">
        <v>150</v>
      </c>
      <c r="C11" s="366" t="s">
        <v>223</v>
      </c>
      <c r="D11" s="331" t="s">
        <v>151</v>
      </c>
      <c r="E11" s="374"/>
      <c r="F11" s="374"/>
      <c r="G11" s="375"/>
      <c r="H11" s="331" t="s">
        <v>151</v>
      </c>
      <c r="I11" s="374"/>
      <c r="J11" s="374"/>
      <c r="K11" s="374"/>
      <c r="L11" s="374"/>
      <c r="M11" s="375"/>
    </row>
    <row r="12" spans="1:13" s="118" customFormat="1" ht="35.25" customHeight="1">
      <c r="A12" s="366"/>
      <c r="B12" s="366"/>
      <c r="C12" s="366"/>
      <c r="D12" s="282">
        <v>2008</v>
      </c>
      <c r="E12" s="282">
        <v>2009</v>
      </c>
      <c r="F12" s="283">
        <v>2010</v>
      </c>
      <c r="G12" s="282">
        <v>2011</v>
      </c>
      <c r="H12" s="282">
        <v>2012</v>
      </c>
      <c r="I12" s="282">
        <v>2013</v>
      </c>
      <c r="J12" s="282">
        <v>2014</v>
      </c>
      <c r="K12" s="282">
        <v>2015</v>
      </c>
      <c r="L12" s="282">
        <v>2016</v>
      </c>
      <c r="M12" s="321">
        <v>2017</v>
      </c>
    </row>
    <row r="13" spans="1:13" s="118" customFormat="1" ht="11.25" customHeight="1">
      <c r="A13" s="126">
        <v>1</v>
      </c>
      <c r="B13" s="126">
        <v>2</v>
      </c>
      <c r="C13" s="126">
        <v>3</v>
      </c>
      <c r="D13" s="126">
        <v>4</v>
      </c>
      <c r="E13" s="126">
        <v>5</v>
      </c>
      <c r="F13" s="126">
        <v>6</v>
      </c>
      <c r="G13" s="284">
        <v>7</v>
      </c>
      <c r="H13" s="126">
        <v>3</v>
      </c>
      <c r="I13" s="126">
        <v>4</v>
      </c>
      <c r="J13" s="126">
        <v>5</v>
      </c>
      <c r="K13" s="126">
        <v>6</v>
      </c>
      <c r="L13" s="126">
        <v>7</v>
      </c>
      <c r="M13" s="322">
        <v>8</v>
      </c>
    </row>
    <row r="14" spans="1:13" s="96" customFormat="1" ht="28.5" customHeight="1">
      <c r="A14" s="285" t="s">
        <v>77</v>
      </c>
      <c r="B14" s="25" t="s">
        <v>82</v>
      </c>
      <c r="C14" s="290">
        <f>SUM('zał7-syt finans'!C46)</f>
        <v>2000000</v>
      </c>
      <c r="D14" s="290">
        <f>SUM('zał7-syt finans'!D46)</f>
        <v>0</v>
      </c>
      <c r="E14" s="290">
        <f>SUM('zał7-syt finans'!E46)</f>
        <v>0</v>
      </c>
      <c r="F14" s="290">
        <f>SUM('zał7-syt finans'!F46)</f>
        <v>0</v>
      </c>
      <c r="G14" s="290">
        <f>SUM('zał7-syt finans'!G46)</f>
        <v>0</v>
      </c>
      <c r="H14" s="290">
        <f>SUM('zał7-syt finans'!H46)</f>
        <v>0</v>
      </c>
      <c r="I14" s="290">
        <f>SUM('zał7-syt finans'!I46)</f>
        <v>0</v>
      </c>
      <c r="J14" s="290">
        <f>SUM('zał7-syt finans'!J46)</f>
        <v>0</v>
      </c>
      <c r="K14" s="290">
        <f>SUM('zał7-syt finans'!K46)</f>
        <v>0</v>
      </c>
      <c r="L14" s="290">
        <f>SUM('zał7-syt finans'!L46)</f>
        <v>0</v>
      </c>
      <c r="M14" s="323">
        <f>SUM('zał7-syt finans'!M46)</f>
        <v>0</v>
      </c>
    </row>
    <row r="15" spans="1:13" s="96" customFormat="1" ht="24.75" customHeight="1">
      <c r="A15" s="285" t="s">
        <v>78</v>
      </c>
      <c r="B15" s="25" t="s">
        <v>84</v>
      </c>
      <c r="C15" s="290">
        <f>SUM('zał7-syt finans'!C45)</f>
        <v>21429971</v>
      </c>
      <c r="D15" s="290">
        <f>SUM('zał7-syt finans'!D45)</f>
        <v>25927587</v>
      </c>
      <c r="E15" s="290">
        <f>SUM('zał7-syt finans'!E45)</f>
        <v>27325668</v>
      </c>
      <c r="F15" s="290">
        <f>SUM('zał7-syt finans'!F45)</f>
        <v>25288312</v>
      </c>
      <c r="G15" s="290">
        <f>SUM('zał7-syt finans'!G45)</f>
        <v>21576345</v>
      </c>
      <c r="H15" s="290">
        <f>SUM('zał7-syt finans'!H45)</f>
        <v>16887504</v>
      </c>
      <c r="I15" s="290">
        <f>SUM('zał7-syt finans'!I45)</f>
        <v>11187819</v>
      </c>
      <c r="J15" s="290">
        <f>SUM('zał7-syt finans'!J45)</f>
        <v>4942541</v>
      </c>
      <c r="K15" s="290">
        <f>SUM('zał7-syt finans'!K45)</f>
        <v>942541</v>
      </c>
      <c r="L15" s="290">
        <f>SUM('zał7-syt finans'!L45)</f>
        <v>0</v>
      </c>
      <c r="M15" s="323">
        <f>SUM('zał7-syt finans'!M45)</f>
        <v>0</v>
      </c>
    </row>
    <row r="16" spans="1:13" s="96" customFormat="1" ht="24.75" customHeight="1">
      <c r="A16" s="285" t="s">
        <v>79</v>
      </c>
      <c r="B16" s="25" t="s">
        <v>85</v>
      </c>
      <c r="C16" s="291" t="s">
        <v>140</v>
      </c>
      <c r="D16" s="291" t="s">
        <v>140</v>
      </c>
      <c r="E16" s="291" t="s">
        <v>140</v>
      </c>
      <c r="F16" s="291" t="s">
        <v>140</v>
      </c>
      <c r="G16" s="295" t="s">
        <v>140</v>
      </c>
      <c r="H16" s="291" t="s">
        <v>140</v>
      </c>
      <c r="I16" s="291" t="s">
        <v>140</v>
      </c>
      <c r="J16" s="291" t="s">
        <v>140</v>
      </c>
      <c r="K16" s="291" t="s">
        <v>140</v>
      </c>
      <c r="L16" s="291" t="s">
        <v>140</v>
      </c>
      <c r="M16" s="324" t="s">
        <v>140</v>
      </c>
    </row>
    <row r="17" spans="1:13" s="96" customFormat="1" ht="24.75" customHeight="1">
      <c r="A17" s="286" t="s">
        <v>68</v>
      </c>
      <c r="B17" s="287" t="s">
        <v>86</v>
      </c>
      <c r="C17" s="291" t="s">
        <v>140</v>
      </c>
      <c r="D17" s="291" t="s">
        <v>140</v>
      </c>
      <c r="E17" s="291" t="s">
        <v>140</v>
      </c>
      <c r="F17" s="291" t="s">
        <v>140</v>
      </c>
      <c r="G17" s="295" t="s">
        <v>140</v>
      </c>
      <c r="H17" s="291" t="s">
        <v>140</v>
      </c>
      <c r="I17" s="291" t="s">
        <v>140</v>
      </c>
      <c r="J17" s="291" t="s">
        <v>140</v>
      </c>
      <c r="K17" s="291" t="s">
        <v>140</v>
      </c>
      <c r="L17" s="291" t="s">
        <v>140</v>
      </c>
      <c r="M17" s="324" t="s">
        <v>140</v>
      </c>
    </row>
    <row r="18" spans="1:13" s="96" customFormat="1" ht="42.75" customHeight="1">
      <c r="A18" s="286" t="s">
        <v>83</v>
      </c>
      <c r="B18" s="25" t="s">
        <v>152</v>
      </c>
      <c r="C18" s="291" t="s">
        <v>140</v>
      </c>
      <c r="D18" s="291" t="s">
        <v>140</v>
      </c>
      <c r="E18" s="291" t="s">
        <v>140</v>
      </c>
      <c r="F18" s="291" t="s">
        <v>140</v>
      </c>
      <c r="G18" s="295" t="s">
        <v>140</v>
      </c>
      <c r="H18" s="291" t="s">
        <v>140</v>
      </c>
      <c r="I18" s="291" t="s">
        <v>140</v>
      </c>
      <c r="J18" s="291" t="s">
        <v>140</v>
      </c>
      <c r="K18" s="291" t="s">
        <v>140</v>
      </c>
      <c r="L18" s="297" t="s">
        <v>140</v>
      </c>
      <c r="M18" s="325" t="s">
        <v>140</v>
      </c>
    </row>
    <row r="19" spans="1:13" s="96" customFormat="1" ht="24.75" customHeight="1">
      <c r="A19" s="288"/>
      <c r="B19" s="25" t="s">
        <v>153</v>
      </c>
      <c r="C19" s="291" t="s">
        <v>140</v>
      </c>
      <c r="D19" s="291" t="s">
        <v>140</v>
      </c>
      <c r="E19" s="291" t="s">
        <v>140</v>
      </c>
      <c r="F19" s="291" t="s">
        <v>140</v>
      </c>
      <c r="G19" s="291" t="s">
        <v>140</v>
      </c>
      <c r="H19" s="291" t="s">
        <v>140</v>
      </c>
      <c r="I19" s="291" t="s">
        <v>140</v>
      </c>
      <c r="J19" s="291" t="s">
        <v>140</v>
      </c>
      <c r="K19" s="291" t="s">
        <v>140</v>
      </c>
      <c r="L19" s="291" t="s">
        <v>140</v>
      </c>
      <c r="M19" s="324" t="s">
        <v>140</v>
      </c>
    </row>
    <row r="20" spans="1:13" s="96" customFormat="1" ht="24.75" customHeight="1">
      <c r="A20" s="288"/>
      <c r="B20" s="25" t="s">
        <v>154</v>
      </c>
      <c r="C20" s="291" t="s">
        <v>140</v>
      </c>
      <c r="D20" s="291" t="s">
        <v>140</v>
      </c>
      <c r="E20" s="291" t="s">
        <v>140</v>
      </c>
      <c r="F20" s="291" t="s">
        <v>140</v>
      </c>
      <c r="G20" s="291" t="s">
        <v>140</v>
      </c>
      <c r="H20" s="291" t="s">
        <v>140</v>
      </c>
      <c r="I20" s="291" t="s">
        <v>140</v>
      </c>
      <c r="J20" s="291" t="s">
        <v>140</v>
      </c>
      <c r="K20" s="291" t="s">
        <v>140</v>
      </c>
      <c r="L20" s="291" t="s">
        <v>140</v>
      </c>
      <c r="M20" s="324" t="s">
        <v>140</v>
      </c>
    </row>
    <row r="21" spans="1:13" s="96" customFormat="1" ht="24.75" customHeight="1">
      <c r="A21" s="288"/>
      <c r="B21" s="25" t="s">
        <v>155</v>
      </c>
      <c r="C21" s="291" t="s">
        <v>140</v>
      </c>
      <c r="D21" s="291" t="s">
        <v>140</v>
      </c>
      <c r="E21" s="291" t="s">
        <v>140</v>
      </c>
      <c r="F21" s="291" t="s">
        <v>140</v>
      </c>
      <c r="G21" s="291" t="s">
        <v>140</v>
      </c>
      <c r="H21" s="291" t="s">
        <v>140</v>
      </c>
      <c r="I21" s="291" t="s">
        <v>140</v>
      </c>
      <c r="J21" s="291" t="s">
        <v>140</v>
      </c>
      <c r="K21" s="291" t="s">
        <v>140</v>
      </c>
      <c r="L21" s="297" t="s">
        <v>140</v>
      </c>
      <c r="M21" s="325" t="s">
        <v>140</v>
      </c>
    </row>
    <row r="22" spans="1:13" s="96" customFormat="1" ht="24.75" customHeight="1">
      <c r="A22" s="289"/>
      <c r="B22" s="25" t="s">
        <v>156</v>
      </c>
      <c r="C22" s="291" t="s">
        <v>140</v>
      </c>
      <c r="D22" s="291" t="s">
        <v>140</v>
      </c>
      <c r="E22" s="291" t="s">
        <v>140</v>
      </c>
      <c r="F22" s="291" t="s">
        <v>140</v>
      </c>
      <c r="G22" s="295" t="s">
        <v>140</v>
      </c>
      <c r="H22" s="291" t="s">
        <v>140</v>
      </c>
      <c r="I22" s="291" t="s">
        <v>140</v>
      </c>
      <c r="J22" s="291" t="s">
        <v>140</v>
      </c>
      <c r="K22" s="291" t="s">
        <v>140</v>
      </c>
      <c r="L22" s="291" t="s">
        <v>140</v>
      </c>
      <c r="M22" s="324" t="s">
        <v>140</v>
      </c>
    </row>
    <row r="23" spans="1:13" s="119" customFormat="1" ht="30" customHeight="1">
      <c r="A23" s="289" t="s">
        <v>87</v>
      </c>
      <c r="B23" s="57" t="s">
        <v>157</v>
      </c>
      <c r="C23" s="292">
        <f>SUM(C14,C15)</f>
        <v>23429971</v>
      </c>
      <c r="D23" s="292">
        <f>SUM(D14,D15,D18)</f>
        <v>25927587</v>
      </c>
      <c r="E23" s="292">
        <f aca="true" t="shared" si="0" ref="E23:M23">SUM(E14,E15,E18)</f>
        <v>27325668</v>
      </c>
      <c r="F23" s="292">
        <f t="shared" si="0"/>
        <v>25288312</v>
      </c>
      <c r="G23" s="292">
        <f t="shared" si="0"/>
        <v>21576345</v>
      </c>
      <c r="H23" s="292">
        <f t="shared" si="0"/>
        <v>16887504</v>
      </c>
      <c r="I23" s="292">
        <f t="shared" si="0"/>
        <v>11187819</v>
      </c>
      <c r="J23" s="292">
        <f t="shared" si="0"/>
        <v>4942541</v>
      </c>
      <c r="K23" s="292">
        <f t="shared" si="0"/>
        <v>942541</v>
      </c>
      <c r="L23" s="292">
        <f t="shared" si="0"/>
        <v>0</v>
      </c>
      <c r="M23" s="326">
        <f t="shared" si="0"/>
        <v>0</v>
      </c>
    </row>
    <row r="24" spans="1:13" s="119" customFormat="1" ht="27" customHeight="1">
      <c r="A24" s="289" t="s">
        <v>95</v>
      </c>
      <c r="B24" s="25" t="s">
        <v>96</v>
      </c>
      <c r="C24" s="293">
        <f>SUM('zał7-syt finans'!C11)</f>
        <v>59026343</v>
      </c>
      <c r="D24" s="293">
        <f>SUM('zał7-syt finans'!D11)</f>
        <v>59885908</v>
      </c>
      <c r="E24" s="293">
        <f>SUM('zał7-syt finans'!E11)</f>
        <v>61357083</v>
      </c>
      <c r="F24" s="293">
        <f>SUM('zał7-syt finans'!F11)</f>
        <v>62768296</v>
      </c>
      <c r="G24" s="293">
        <f>SUM('zał7-syt finans'!G11)</f>
        <v>64211967</v>
      </c>
      <c r="H24" s="293">
        <f>SUM('zał7-syt finans'!H11)</f>
        <v>65688841</v>
      </c>
      <c r="I24" s="293">
        <f>SUM('zał7-syt finans'!I11)</f>
        <v>67199685</v>
      </c>
      <c r="J24" s="293">
        <f>SUM('zał7-syt finans'!J11)</f>
        <v>68745278</v>
      </c>
      <c r="K24" s="293">
        <f>SUM('zał7-syt finans'!K11)</f>
        <v>70326420</v>
      </c>
      <c r="L24" s="293">
        <f>SUM('zał7-syt finans'!L11)</f>
        <v>71943928</v>
      </c>
      <c r="M24" s="327">
        <f>SUM('zał7-syt finans'!M11)</f>
        <v>73598638</v>
      </c>
    </row>
    <row r="25" spans="1:13" s="119" customFormat="1" ht="30" customHeight="1">
      <c r="A25" s="289" t="s">
        <v>104</v>
      </c>
      <c r="B25" s="25" t="s">
        <v>158</v>
      </c>
      <c r="C25" s="294">
        <f aca="true" t="shared" si="1" ref="C25:M25">C23/C24*100</f>
        <v>39.694092178470214</v>
      </c>
      <c r="D25" s="294">
        <f t="shared" si="1"/>
        <v>43.29497183210447</v>
      </c>
      <c r="E25" s="294">
        <f t="shared" si="1"/>
        <v>44.53547441295409</v>
      </c>
      <c r="F25" s="294">
        <f t="shared" si="1"/>
        <v>40.28835194124116</v>
      </c>
      <c r="G25" s="296">
        <f t="shared" si="1"/>
        <v>33.60175058957468</v>
      </c>
      <c r="H25" s="294">
        <f t="shared" si="1"/>
        <v>25.708329973427297</v>
      </c>
      <c r="I25" s="294">
        <f t="shared" si="1"/>
        <v>16.64861821896933</v>
      </c>
      <c r="J25" s="294">
        <f t="shared" si="1"/>
        <v>7.189644356373102</v>
      </c>
      <c r="K25" s="294">
        <f t="shared" si="1"/>
        <v>1.3402374242852118</v>
      </c>
      <c r="L25" s="294">
        <f t="shared" si="1"/>
        <v>0</v>
      </c>
      <c r="M25" s="328">
        <f t="shared" si="1"/>
        <v>0</v>
      </c>
    </row>
    <row r="26" s="41" customFormat="1" ht="12.75"/>
    <row r="27" s="41" customFormat="1" ht="12.75"/>
    <row r="28" s="41" customFormat="1" ht="12.75"/>
    <row r="29" s="41" customFormat="1" ht="12.75"/>
    <row r="30" s="41" customFormat="1" ht="12.75"/>
    <row r="31" s="41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1:Y76"/>
  <sheetViews>
    <sheetView tabSelected="1" workbookViewId="0" topLeftCell="A7">
      <pane ySplit="975" topLeftCell="BM1" activePane="bottomLeft" state="split"/>
      <selection pane="topLeft" activeCell="I69" sqref="I69"/>
      <selection pane="bottomLeft" activeCell="B9" sqref="B9"/>
    </sheetView>
  </sheetViews>
  <sheetFormatPr defaultColWidth="9.00390625" defaultRowHeight="12.75"/>
  <cols>
    <col min="1" max="1" width="4.375" style="35" customWidth="1"/>
    <col min="2" max="2" width="40.875" style="35" customWidth="1"/>
    <col min="3" max="3" width="13.25390625" style="35" customWidth="1"/>
    <col min="4" max="6" width="13.125" style="87" customWidth="1"/>
    <col min="7" max="7" width="15.125" style="87" customWidth="1"/>
    <col min="8" max="8" width="13.00390625" style="87" customWidth="1"/>
    <col min="9" max="9" width="14.625" style="87" customWidth="1"/>
    <col min="10" max="12" width="13.125" style="87" customWidth="1"/>
    <col min="13" max="13" width="14.625" style="87" customWidth="1"/>
    <col min="14" max="14" width="13.00390625" style="87" customWidth="1"/>
    <col min="15" max="16384" width="9.125" style="35" customWidth="1"/>
  </cols>
  <sheetData>
    <row r="1" spans="4:25" ht="14.25">
      <c r="D1" s="58"/>
      <c r="E1" s="58"/>
      <c r="F1" s="36" t="s">
        <v>221</v>
      </c>
      <c r="H1" s="58"/>
      <c r="I1" s="58"/>
      <c r="J1" s="36" t="s">
        <v>221</v>
      </c>
      <c r="K1" s="88"/>
      <c r="L1" s="88"/>
      <c r="M1" s="88"/>
      <c r="N1" s="36" t="s">
        <v>221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4:25" ht="14.25">
      <c r="D2" s="59"/>
      <c r="E2" s="59"/>
      <c r="F2" s="36" t="s">
        <v>214</v>
      </c>
      <c r="H2" s="59"/>
      <c r="I2" s="59"/>
      <c r="J2" s="36" t="s">
        <v>214</v>
      </c>
      <c r="K2" s="89"/>
      <c r="L2" s="89"/>
      <c r="M2" s="89"/>
      <c r="N2" s="36" t="s">
        <v>214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4:25" ht="14.25">
      <c r="D3" s="59"/>
      <c r="E3" s="59"/>
      <c r="F3" s="36" t="s">
        <v>220</v>
      </c>
      <c r="H3" s="59"/>
      <c r="I3" s="59"/>
      <c r="J3" s="36" t="s">
        <v>220</v>
      </c>
      <c r="K3" s="89"/>
      <c r="L3" s="89"/>
      <c r="M3" s="89"/>
      <c r="N3" s="36" t="s">
        <v>220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4:12" ht="14.25">
      <c r="D4" s="53"/>
      <c r="E4" s="53"/>
      <c r="F4" s="53"/>
      <c r="H4" s="35"/>
      <c r="I4" s="35"/>
      <c r="J4" s="53"/>
      <c r="K4" s="90"/>
      <c r="L4" s="90"/>
    </row>
    <row r="5" spans="3:10" ht="12.75">
      <c r="C5" s="24"/>
      <c r="D5" s="35"/>
      <c r="E5" s="22"/>
      <c r="F5" s="35"/>
      <c r="H5" s="35"/>
      <c r="I5" s="35"/>
      <c r="J5" s="35"/>
    </row>
    <row r="6" spans="6:14" ht="15" customHeight="1">
      <c r="F6" s="63" t="s">
        <v>43</v>
      </c>
      <c r="H6" s="35"/>
      <c r="I6" s="35"/>
      <c r="J6" s="63" t="s">
        <v>43</v>
      </c>
      <c r="N6" s="63" t="s">
        <v>43</v>
      </c>
    </row>
    <row r="7" spans="1:14" ht="12.75">
      <c r="A7" s="131" t="s">
        <v>133</v>
      </c>
      <c r="B7" s="131" t="s">
        <v>71</v>
      </c>
      <c r="C7" s="381" t="s">
        <v>222</v>
      </c>
      <c r="D7" s="228" t="s">
        <v>44</v>
      </c>
      <c r="E7" s="229"/>
      <c r="F7" s="230"/>
      <c r="G7" s="376" t="s">
        <v>45</v>
      </c>
      <c r="H7" s="377"/>
      <c r="I7" s="377"/>
      <c r="J7" s="378"/>
      <c r="K7" s="376" t="s">
        <v>45</v>
      </c>
      <c r="L7" s="377"/>
      <c r="M7" s="377"/>
      <c r="N7" s="378"/>
    </row>
    <row r="8" spans="1:14" ht="12.75">
      <c r="A8" s="279"/>
      <c r="B8" s="279"/>
      <c r="C8" s="382"/>
      <c r="D8" s="231">
        <v>2008</v>
      </c>
      <c r="E8" s="232">
        <v>2009</v>
      </c>
      <c r="F8" s="232">
        <v>2010</v>
      </c>
      <c r="G8" s="233">
        <v>2011</v>
      </c>
      <c r="H8" s="232">
        <v>2012</v>
      </c>
      <c r="I8" s="232">
        <v>2013</v>
      </c>
      <c r="J8" s="232">
        <v>2014</v>
      </c>
      <c r="K8" s="232">
        <v>2015</v>
      </c>
      <c r="L8" s="232">
        <v>2016</v>
      </c>
      <c r="M8" s="314">
        <v>2017</v>
      </c>
      <c r="N8" s="131"/>
    </row>
    <row r="9" spans="1:14" ht="12.75">
      <c r="A9" s="236"/>
      <c r="B9" s="236"/>
      <c r="C9" s="234">
        <v>2007</v>
      </c>
      <c r="D9" s="235"/>
      <c r="E9" s="236"/>
      <c r="F9" s="236"/>
      <c r="G9" s="237"/>
      <c r="H9" s="236"/>
      <c r="I9" s="236"/>
      <c r="J9" s="236"/>
      <c r="K9" s="236"/>
      <c r="L9" s="236"/>
      <c r="M9" s="315"/>
      <c r="N9" s="234"/>
    </row>
    <row r="10" spans="1:14" ht="12.75">
      <c r="A10" s="164">
        <v>1</v>
      </c>
      <c r="B10" s="164">
        <v>2</v>
      </c>
      <c r="C10" s="164">
        <v>3</v>
      </c>
      <c r="D10" s="164">
        <v>4</v>
      </c>
      <c r="E10" s="164">
        <v>5</v>
      </c>
      <c r="F10" s="164">
        <v>6</v>
      </c>
      <c r="G10" s="164">
        <v>3</v>
      </c>
      <c r="H10" s="164">
        <v>4</v>
      </c>
      <c r="I10" s="164">
        <v>5</v>
      </c>
      <c r="J10" s="164">
        <v>6</v>
      </c>
      <c r="K10" s="164">
        <v>3</v>
      </c>
      <c r="L10" s="164">
        <v>4</v>
      </c>
      <c r="M10" s="316">
        <v>5</v>
      </c>
      <c r="N10" s="164"/>
    </row>
    <row r="11" spans="1:14" s="242" customFormat="1" ht="16.5">
      <c r="A11" s="238" t="s">
        <v>76</v>
      </c>
      <c r="B11" s="239" t="s">
        <v>170</v>
      </c>
      <c r="C11" s="240">
        <f aca="true" t="shared" si="0" ref="C11:K11">SUM(C12,C16,C17,C18,C19)</f>
        <v>59026343</v>
      </c>
      <c r="D11" s="240">
        <f t="shared" si="0"/>
        <v>59885908</v>
      </c>
      <c r="E11" s="240">
        <f t="shared" si="0"/>
        <v>61357083</v>
      </c>
      <c r="F11" s="240">
        <f t="shared" si="0"/>
        <v>62768296</v>
      </c>
      <c r="G11" s="240">
        <f t="shared" si="0"/>
        <v>64211967</v>
      </c>
      <c r="H11" s="240">
        <f t="shared" si="0"/>
        <v>65688841</v>
      </c>
      <c r="I11" s="240">
        <f t="shared" si="0"/>
        <v>67199685</v>
      </c>
      <c r="J11" s="240">
        <f t="shared" si="0"/>
        <v>68745278</v>
      </c>
      <c r="K11" s="240">
        <f t="shared" si="0"/>
        <v>70326420</v>
      </c>
      <c r="L11" s="240">
        <f>SUM(L12,L16,L17,L18,L19)</f>
        <v>71943928</v>
      </c>
      <c r="M11" s="267">
        <f>SUM(M12,M16,M17,M18,M19)</f>
        <v>73598638</v>
      </c>
      <c r="N11" s="241">
        <f>SUM(N12,N16,N17,N18,N19)</f>
        <v>75806597.14</v>
      </c>
    </row>
    <row r="12" spans="1:14" s="23" customFormat="1" ht="15">
      <c r="A12" s="243" t="s">
        <v>172</v>
      </c>
      <c r="B12" s="244" t="s">
        <v>46</v>
      </c>
      <c r="C12" s="240">
        <f aca="true" t="shared" si="1" ref="C12:K12">SUM(C13:C15)</f>
        <v>16092062</v>
      </c>
      <c r="D12" s="240">
        <f t="shared" si="1"/>
        <v>14631765</v>
      </c>
      <c r="E12" s="240">
        <f t="shared" si="1"/>
        <v>14968296</v>
      </c>
      <c r="F12" s="240">
        <f t="shared" si="1"/>
        <v>15312567</v>
      </c>
      <c r="G12" s="240">
        <f t="shared" si="1"/>
        <v>15664756</v>
      </c>
      <c r="H12" s="240">
        <f t="shared" si="1"/>
        <v>16025045</v>
      </c>
      <c r="I12" s="240">
        <f t="shared" si="1"/>
        <v>16393621</v>
      </c>
      <c r="J12" s="240">
        <f t="shared" si="1"/>
        <v>16770674</v>
      </c>
      <c r="K12" s="240">
        <f t="shared" si="1"/>
        <v>17156400</v>
      </c>
      <c r="L12" s="240">
        <f>SUM(L13:L15)</f>
        <v>17550997</v>
      </c>
      <c r="M12" s="267">
        <f>SUM(M13:M15)</f>
        <v>17954670</v>
      </c>
      <c r="N12" s="241">
        <f>SUM(N13:N15)</f>
        <v>18493310.1</v>
      </c>
    </row>
    <row r="13" spans="1:14" s="23" customFormat="1" ht="25.5" customHeight="1">
      <c r="A13" s="61" t="s">
        <v>77</v>
      </c>
      <c r="B13" s="245" t="s">
        <v>47</v>
      </c>
      <c r="C13" s="246">
        <v>9181109</v>
      </c>
      <c r="D13" s="246">
        <v>8977837</v>
      </c>
      <c r="E13" s="246">
        <f aca="true" t="shared" si="2" ref="E13:E18">ROUND(D13*102.3%,0)</f>
        <v>9184327</v>
      </c>
      <c r="F13" s="246">
        <f aca="true" t="shared" si="3" ref="F13:M13">ROUND(E13*102.3%,0)</f>
        <v>9395567</v>
      </c>
      <c r="G13" s="246">
        <f t="shared" si="3"/>
        <v>9611665</v>
      </c>
      <c r="H13" s="246">
        <f t="shared" si="3"/>
        <v>9832733</v>
      </c>
      <c r="I13" s="246">
        <f t="shared" si="3"/>
        <v>10058886</v>
      </c>
      <c r="J13" s="246">
        <f t="shared" si="3"/>
        <v>10290240</v>
      </c>
      <c r="K13" s="246">
        <f t="shared" si="3"/>
        <v>10526916</v>
      </c>
      <c r="L13" s="246">
        <f t="shared" si="3"/>
        <v>10769035</v>
      </c>
      <c r="M13" s="266">
        <f t="shared" si="3"/>
        <v>11016723</v>
      </c>
      <c r="N13" s="247">
        <f aca="true" t="shared" si="4" ref="N13:N19">M13*103%</f>
        <v>11347224.69</v>
      </c>
    </row>
    <row r="14" spans="1:14" s="23" customFormat="1" ht="12.75" customHeight="1">
      <c r="A14" s="61" t="s">
        <v>78</v>
      </c>
      <c r="B14" s="245" t="s">
        <v>48</v>
      </c>
      <c r="C14" s="246">
        <v>288357</v>
      </c>
      <c r="D14" s="246">
        <v>354939</v>
      </c>
      <c r="E14" s="246">
        <f t="shared" si="2"/>
        <v>363103</v>
      </c>
      <c r="F14" s="246">
        <f aca="true" t="shared" si="5" ref="F14:M14">ROUND(E14*102.3%,0)</f>
        <v>371454</v>
      </c>
      <c r="G14" s="246">
        <f t="shared" si="5"/>
        <v>379997</v>
      </c>
      <c r="H14" s="246">
        <f t="shared" si="5"/>
        <v>388737</v>
      </c>
      <c r="I14" s="246">
        <f t="shared" si="5"/>
        <v>397678</v>
      </c>
      <c r="J14" s="246">
        <f t="shared" si="5"/>
        <v>406825</v>
      </c>
      <c r="K14" s="246">
        <f t="shared" si="5"/>
        <v>416182</v>
      </c>
      <c r="L14" s="246">
        <f t="shared" si="5"/>
        <v>425754</v>
      </c>
      <c r="M14" s="266">
        <f t="shared" si="5"/>
        <v>435546</v>
      </c>
      <c r="N14" s="247">
        <f t="shared" si="4"/>
        <v>448612.38</v>
      </c>
    </row>
    <row r="15" spans="1:14" s="23" customFormat="1" ht="12.75" customHeight="1">
      <c r="A15" s="61" t="s">
        <v>79</v>
      </c>
      <c r="B15" s="245" t="s">
        <v>49</v>
      </c>
      <c r="C15" s="246">
        <v>6622596</v>
      </c>
      <c r="D15" s="246">
        <f>4732169+566820</f>
        <v>5298989</v>
      </c>
      <c r="E15" s="246">
        <f t="shared" si="2"/>
        <v>5420866</v>
      </c>
      <c r="F15" s="246">
        <f aca="true" t="shared" si="6" ref="F15:M15">ROUND(E15*102.3%,0)</f>
        <v>5545546</v>
      </c>
      <c r="G15" s="246">
        <f t="shared" si="6"/>
        <v>5673094</v>
      </c>
      <c r="H15" s="246">
        <f t="shared" si="6"/>
        <v>5803575</v>
      </c>
      <c r="I15" s="246">
        <f t="shared" si="6"/>
        <v>5937057</v>
      </c>
      <c r="J15" s="246">
        <f t="shared" si="6"/>
        <v>6073609</v>
      </c>
      <c r="K15" s="246">
        <f t="shared" si="6"/>
        <v>6213302</v>
      </c>
      <c r="L15" s="246">
        <f t="shared" si="6"/>
        <v>6356208</v>
      </c>
      <c r="M15" s="266">
        <f t="shared" si="6"/>
        <v>6502401</v>
      </c>
      <c r="N15" s="247">
        <f t="shared" si="4"/>
        <v>6697473.03</v>
      </c>
    </row>
    <row r="16" spans="1:14" s="23" customFormat="1" ht="15">
      <c r="A16" s="248" t="s">
        <v>18</v>
      </c>
      <c r="B16" s="249" t="s">
        <v>134</v>
      </c>
      <c r="C16" s="250">
        <v>33738903</v>
      </c>
      <c r="D16" s="251">
        <v>34405848</v>
      </c>
      <c r="E16" s="251">
        <f t="shared" si="2"/>
        <v>35197183</v>
      </c>
      <c r="F16" s="251">
        <f>ROUND(E16*102.3%,0)</f>
        <v>36006718</v>
      </c>
      <c r="G16" s="251">
        <f aca="true" t="shared" si="7" ref="G16:M16">ROUND(F16*102.3%,0)</f>
        <v>36834873</v>
      </c>
      <c r="H16" s="251">
        <f t="shared" si="7"/>
        <v>37682075</v>
      </c>
      <c r="I16" s="251">
        <f t="shared" si="7"/>
        <v>38548763</v>
      </c>
      <c r="J16" s="251">
        <f t="shared" si="7"/>
        <v>39435385</v>
      </c>
      <c r="K16" s="251">
        <f t="shared" si="7"/>
        <v>40342399</v>
      </c>
      <c r="L16" s="251">
        <f t="shared" si="7"/>
        <v>41270274</v>
      </c>
      <c r="M16" s="317">
        <f t="shared" si="7"/>
        <v>42219490</v>
      </c>
      <c r="N16" s="241">
        <f t="shared" si="4"/>
        <v>43486074.7</v>
      </c>
    </row>
    <row r="17" spans="1:14" s="255" customFormat="1" ht="30" customHeight="1">
      <c r="A17" s="252" t="s">
        <v>22</v>
      </c>
      <c r="B17" s="253" t="s">
        <v>50</v>
      </c>
      <c r="C17" s="212">
        <v>5040053</v>
      </c>
      <c r="D17" s="251">
        <v>5589440</v>
      </c>
      <c r="E17" s="251">
        <f t="shared" si="2"/>
        <v>5717997</v>
      </c>
      <c r="F17" s="251">
        <f>ROUND(E17*102.3%,0)</f>
        <v>5849511</v>
      </c>
      <c r="G17" s="251">
        <f aca="true" t="shared" si="8" ref="G17:M17">ROUND(F17*102.3%,0)</f>
        <v>5984050</v>
      </c>
      <c r="H17" s="251">
        <f t="shared" si="8"/>
        <v>6121683</v>
      </c>
      <c r="I17" s="251">
        <f t="shared" si="8"/>
        <v>6262482</v>
      </c>
      <c r="J17" s="251">
        <f t="shared" si="8"/>
        <v>6406519</v>
      </c>
      <c r="K17" s="251">
        <f t="shared" si="8"/>
        <v>6553869</v>
      </c>
      <c r="L17" s="251">
        <f t="shared" si="8"/>
        <v>6704608</v>
      </c>
      <c r="M17" s="317">
        <f t="shared" si="8"/>
        <v>6858814</v>
      </c>
      <c r="N17" s="254">
        <f t="shared" si="4"/>
        <v>7064578.42</v>
      </c>
    </row>
    <row r="18" spans="1:14" s="255" customFormat="1" ht="15">
      <c r="A18" s="252" t="s">
        <v>23</v>
      </c>
      <c r="B18" s="256" t="s">
        <v>135</v>
      </c>
      <c r="C18" s="251">
        <v>3441698</v>
      </c>
      <c r="D18" s="251">
        <v>2809000</v>
      </c>
      <c r="E18" s="251">
        <f t="shared" si="2"/>
        <v>2873607</v>
      </c>
      <c r="F18" s="251">
        <f>ROUND(E18*102.3%,0)</f>
        <v>2939700</v>
      </c>
      <c r="G18" s="251">
        <f aca="true" t="shared" si="9" ref="G18:M18">ROUND(F18*102.3%,0)</f>
        <v>3007313</v>
      </c>
      <c r="H18" s="251">
        <f t="shared" si="9"/>
        <v>3076481</v>
      </c>
      <c r="I18" s="251">
        <f t="shared" si="9"/>
        <v>3147240</v>
      </c>
      <c r="J18" s="251">
        <f t="shared" si="9"/>
        <v>3219627</v>
      </c>
      <c r="K18" s="251">
        <f t="shared" si="9"/>
        <v>3293678</v>
      </c>
      <c r="L18" s="251">
        <f t="shared" si="9"/>
        <v>3369433</v>
      </c>
      <c r="M18" s="317">
        <f t="shared" si="9"/>
        <v>3446930</v>
      </c>
      <c r="N18" s="254">
        <f t="shared" si="4"/>
        <v>3550337.9</v>
      </c>
    </row>
    <row r="19" spans="1:14" s="255" customFormat="1" ht="15">
      <c r="A19" s="252" t="s">
        <v>26</v>
      </c>
      <c r="B19" s="256" t="s">
        <v>51</v>
      </c>
      <c r="C19" s="251">
        <v>713627</v>
      </c>
      <c r="D19" s="251">
        <f>2439468+10387</f>
        <v>2449855</v>
      </c>
      <c r="E19" s="251">
        <v>2600000</v>
      </c>
      <c r="F19" s="251">
        <f>ROUND(E19*102.3%,0)</f>
        <v>2659800</v>
      </c>
      <c r="G19" s="251">
        <f aca="true" t="shared" si="10" ref="G19:M19">ROUND(F19*102.3%,0)</f>
        <v>2720975</v>
      </c>
      <c r="H19" s="251">
        <f t="shared" si="10"/>
        <v>2783557</v>
      </c>
      <c r="I19" s="251">
        <f t="shared" si="10"/>
        <v>2847579</v>
      </c>
      <c r="J19" s="251">
        <f t="shared" si="10"/>
        <v>2913073</v>
      </c>
      <c r="K19" s="251">
        <f t="shared" si="10"/>
        <v>2980074</v>
      </c>
      <c r="L19" s="251">
        <f t="shared" si="10"/>
        <v>3048616</v>
      </c>
      <c r="M19" s="317">
        <f t="shared" si="10"/>
        <v>3118734</v>
      </c>
      <c r="N19" s="241">
        <f t="shared" si="4"/>
        <v>3212296.02</v>
      </c>
    </row>
    <row r="20" spans="1:14" s="242" customFormat="1" ht="16.5">
      <c r="A20" s="238" t="s">
        <v>80</v>
      </c>
      <c r="B20" s="239" t="s">
        <v>143</v>
      </c>
      <c r="C20" s="240">
        <f>SUM(C25,C21)</f>
        <v>60636770</v>
      </c>
      <c r="D20" s="240">
        <f aca="true" t="shared" si="11" ref="D20:K20">D21+D25</f>
        <v>64772310</v>
      </c>
      <c r="E20" s="240">
        <f t="shared" si="11"/>
        <v>62755164</v>
      </c>
      <c r="F20" s="240">
        <f t="shared" si="11"/>
        <v>60730940</v>
      </c>
      <c r="G20" s="240">
        <f t="shared" si="11"/>
        <v>60500000</v>
      </c>
      <c r="H20" s="240">
        <f t="shared" si="11"/>
        <v>61000000</v>
      </c>
      <c r="I20" s="240">
        <f t="shared" si="11"/>
        <v>61500000</v>
      </c>
      <c r="J20" s="240">
        <f t="shared" si="11"/>
        <v>62500000</v>
      </c>
      <c r="K20" s="240">
        <f t="shared" si="11"/>
        <v>62500000</v>
      </c>
      <c r="L20" s="240">
        <f>L21+L25</f>
        <v>63000000</v>
      </c>
      <c r="M20" s="267">
        <f>M21+M25</f>
        <v>63500000</v>
      </c>
      <c r="N20" s="241">
        <f>SUM(N21,N25)</f>
        <v>63500000</v>
      </c>
    </row>
    <row r="21" spans="1:14" s="23" customFormat="1" ht="15">
      <c r="A21" s="243" t="s">
        <v>172</v>
      </c>
      <c r="B21" s="244" t="s">
        <v>14</v>
      </c>
      <c r="C21" s="240">
        <v>56671685</v>
      </c>
      <c r="D21" s="251">
        <v>59936230</v>
      </c>
      <c r="E21" s="251">
        <v>59000000</v>
      </c>
      <c r="F21" s="251">
        <v>59500000</v>
      </c>
      <c r="G21" s="251">
        <v>60000000</v>
      </c>
      <c r="H21" s="251">
        <v>60500000</v>
      </c>
      <c r="I21" s="251">
        <v>61000000</v>
      </c>
      <c r="J21" s="251">
        <v>62000000</v>
      </c>
      <c r="K21" s="251">
        <v>62000000</v>
      </c>
      <c r="L21" s="251">
        <v>62500000</v>
      </c>
      <c r="M21" s="317">
        <v>63000000</v>
      </c>
      <c r="N21" s="241">
        <v>63000000</v>
      </c>
    </row>
    <row r="22" spans="1:14" s="23" customFormat="1" ht="12.75" customHeight="1" hidden="1">
      <c r="A22" s="257" t="s">
        <v>77</v>
      </c>
      <c r="B22" s="245" t="s">
        <v>52</v>
      </c>
      <c r="C22" s="246">
        <f>SUM(C23:C24)</f>
        <v>1326594</v>
      </c>
      <c r="D22" s="246">
        <f aca="true" t="shared" si="12" ref="D22:K22">SUM(D23:D24)</f>
        <v>1344287</v>
      </c>
      <c r="E22" s="246">
        <f t="shared" si="12"/>
        <v>1246085</v>
      </c>
      <c r="F22" s="246">
        <f t="shared" si="12"/>
        <v>1066506</v>
      </c>
      <c r="G22" s="246">
        <f t="shared" si="12"/>
        <v>938349</v>
      </c>
      <c r="H22" s="246">
        <f t="shared" si="12"/>
        <v>701792</v>
      </c>
      <c r="I22" s="246">
        <f t="shared" si="12"/>
        <v>543482</v>
      </c>
      <c r="J22" s="246">
        <f t="shared" si="12"/>
        <v>315700</v>
      </c>
      <c r="K22" s="246">
        <f t="shared" si="12"/>
        <v>161100</v>
      </c>
      <c r="L22" s="246">
        <f>SUM(L23:L24)</f>
        <v>161100</v>
      </c>
      <c r="M22" s="266">
        <f>SUM(M23:M24)</f>
        <v>161100</v>
      </c>
      <c r="N22" s="247">
        <f>SUM(N23:N24)</f>
        <v>0</v>
      </c>
    </row>
    <row r="23" spans="1:14" s="23" customFormat="1" ht="12.75" hidden="1">
      <c r="A23" s="258"/>
      <c r="B23" s="259" t="s">
        <v>53</v>
      </c>
      <c r="C23" s="246">
        <f>1326594-C24</f>
        <v>1177000</v>
      </c>
      <c r="D23" s="246">
        <f>1623000-524713</f>
        <v>1098287</v>
      </c>
      <c r="E23" s="246">
        <v>1082085</v>
      </c>
      <c r="F23" s="246">
        <v>1066506</v>
      </c>
      <c r="G23" s="246">
        <v>938349</v>
      </c>
      <c r="H23" s="246">
        <v>701792</v>
      </c>
      <c r="I23" s="246">
        <v>543482</v>
      </c>
      <c r="J23" s="246">
        <v>315700</v>
      </c>
      <c r="K23" s="246">
        <v>161100</v>
      </c>
      <c r="L23" s="246">
        <v>161100</v>
      </c>
      <c r="M23" s="266">
        <v>161100</v>
      </c>
      <c r="N23" s="247"/>
    </row>
    <row r="24" spans="1:14" s="23" customFormat="1" ht="12.75" hidden="1">
      <c r="A24" s="258"/>
      <c r="B24" s="259" t="s">
        <v>54</v>
      </c>
      <c r="C24" s="246">
        <v>149594</v>
      </c>
      <c r="D24" s="246">
        <v>246000</v>
      </c>
      <c r="E24" s="246">
        <v>164000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66">
        <v>0</v>
      </c>
      <c r="N24" s="247">
        <v>0</v>
      </c>
    </row>
    <row r="25" spans="1:14" s="23" customFormat="1" ht="15">
      <c r="A25" s="243" t="s">
        <v>18</v>
      </c>
      <c r="B25" s="244" t="s">
        <v>55</v>
      </c>
      <c r="C25" s="240">
        <v>3965085</v>
      </c>
      <c r="D25" s="240">
        <v>4836080</v>
      </c>
      <c r="E25" s="240">
        <v>3755164</v>
      </c>
      <c r="F25" s="240">
        <v>1230940</v>
      </c>
      <c r="G25" s="240">
        <v>500000</v>
      </c>
      <c r="H25" s="240">
        <v>500000</v>
      </c>
      <c r="I25" s="240">
        <v>500000</v>
      </c>
      <c r="J25" s="240">
        <v>500000</v>
      </c>
      <c r="K25" s="240">
        <v>500000</v>
      </c>
      <c r="L25" s="240">
        <v>500000</v>
      </c>
      <c r="M25" s="267">
        <v>500000</v>
      </c>
      <c r="N25" s="241">
        <v>500000</v>
      </c>
    </row>
    <row r="26" spans="1:14" s="242" customFormat="1" ht="16.5">
      <c r="A26" s="238" t="s">
        <v>81</v>
      </c>
      <c r="B26" s="239" t="s">
        <v>56</v>
      </c>
      <c r="C26" s="240">
        <f>C11-C20</f>
        <v>-1610427</v>
      </c>
      <c r="D26" s="240">
        <f aca="true" t="shared" si="13" ref="D26:K26">D11-D20</f>
        <v>-4886402</v>
      </c>
      <c r="E26" s="240">
        <f t="shared" si="13"/>
        <v>-1398081</v>
      </c>
      <c r="F26" s="240">
        <f t="shared" si="13"/>
        <v>2037356</v>
      </c>
      <c r="G26" s="240">
        <f t="shared" si="13"/>
        <v>3711967</v>
      </c>
      <c r="H26" s="240">
        <f t="shared" si="13"/>
        <v>4688841</v>
      </c>
      <c r="I26" s="240">
        <f t="shared" si="13"/>
        <v>5699685</v>
      </c>
      <c r="J26" s="240">
        <f t="shared" si="13"/>
        <v>6245278</v>
      </c>
      <c r="K26" s="240">
        <f t="shared" si="13"/>
        <v>7826420</v>
      </c>
      <c r="L26" s="240">
        <f>L11-L20</f>
        <v>8943928</v>
      </c>
      <c r="M26" s="267">
        <f>M11-M20</f>
        <v>10098638</v>
      </c>
      <c r="N26" s="241">
        <f>N11-N20</f>
        <v>12306597.14</v>
      </c>
    </row>
    <row r="27" spans="1:14" s="261" customFormat="1" ht="38.25" customHeight="1">
      <c r="A27" s="238" t="s">
        <v>98</v>
      </c>
      <c r="B27" s="260" t="s">
        <v>57</v>
      </c>
      <c r="C27" s="240">
        <v>20733971</v>
      </c>
      <c r="D27" s="240">
        <f aca="true" t="shared" si="14" ref="D27:N27">SUM(C41)</f>
        <v>23429971</v>
      </c>
      <c r="E27" s="240">
        <f t="shared" si="14"/>
        <v>25927587</v>
      </c>
      <c r="F27" s="240">
        <f t="shared" si="14"/>
        <v>27325668</v>
      </c>
      <c r="G27" s="240">
        <f t="shared" si="14"/>
        <v>25288312</v>
      </c>
      <c r="H27" s="240">
        <f t="shared" si="14"/>
        <v>21576345</v>
      </c>
      <c r="I27" s="240">
        <f t="shared" si="14"/>
        <v>16887504</v>
      </c>
      <c r="J27" s="240">
        <f t="shared" si="14"/>
        <v>11187819</v>
      </c>
      <c r="K27" s="240">
        <f t="shared" si="14"/>
        <v>4942541</v>
      </c>
      <c r="L27" s="240">
        <f t="shared" si="14"/>
        <v>942541</v>
      </c>
      <c r="M27" s="267">
        <f t="shared" si="14"/>
        <v>0</v>
      </c>
      <c r="N27" s="241">
        <f t="shared" si="14"/>
        <v>0</v>
      </c>
    </row>
    <row r="28" spans="1:14" s="263" customFormat="1" ht="30" customHeight="1">
      <c r="A28" s="243" t="s">
        <v>121</v>
      </c>
      <c r="B28" s="253" t="s">
        <v>208</v>
      </c>
      <c r="C28" s="262">
        <v>6223600</v>
      </c>
      <c r="D28" s="262">
        <f>SUM('zał2-sfin'!F14)</f>
        <v>5975216</v>
      </c>
      <c r="E28" s="262">
        <f aca="true" t="shared" si="15" ref="E28:J28">-E26+E32+E36+E39</f>
        <v>6598081</v>
      </c>
      <c r="F28" s="262">
        <f t="shared" si="15"/>
        <v>3162644</v>
      </c>
      <c r="G28" s="262">
        <f t="shared" si="15"/>
        <v>1488033</v>
      </c>
      <c r="H28" s="262">
        <f t="shared" si="15"/>
        <v>1449530</v>
      </c>
      <c r="I28" s="262">
        <f t="shared" si="15"/>
        <v>724315</v>
      </c>
      <c r="J28" s="262">
        <f t="shared" si="15"/>
        <v>0</v>
      </c>
      <c r="K28" s="262">
        <v>0</v>
      </c>
      <c r="L28" s="262">
        <v>0</v>
      </c>
      <c r="M28" s="318">
        <v>0</v>
      </c>
      <c r="N28" s="241">
        <f>240162+N31+N39</f>
        <v>3551162</v>
      </c>
    </row>
    <row r="29" spans="1:14" s="263" customFormat="1" ht="15" customHeight="1" hidden="1">
      <c r="A29" s="243">
        <v>2</v>
      </c>
      <c r="B29" s="253" t="s">
        <v>58</v>
      </c>
      <c r="C29" s="264" t="s">
        <v>140</v>
      </c>
      <c r="D29" s="121" t="s">
        <v>140</v>
      </c>
      <c r="E29" s="121" t="s">
        <v>140</v>
      </c>
      <c r="F29" s="121" t="s">
        <v>140</v>
      </c>
      <c r="G29" s="121" t="s">
        <v>140</v>
      </c>
      <c r="H29" s="121" t="s">
        <v>140</v>
      </c>
      <c r="I29" s="121" t="s">
        <v>140</v>
      </c>
      <c r="J29" s="121" t="s">
        <v>140</v>
      </c>
      <c r="K29" s="121" t="s">
        <v>140</v>
      </c>
      <c r="L29" s="121" t="s">
        <v>140</v>
      </c>
      <c r="M29" s="319" t="s">
        <v>140</v>
      </c>
      <c r="N29" s="265" t="s">
        <v>140</v>
      </c>
    </row>
    <row r="30" spans="1:14" s="263" customFormat="1" ht="15" customHeight="1">
      <c r="A30" s="243" t="s">
        <v>122</v>
      </c>
      <c r="B30" s="256" t="s">
        <v>171</v>
      </c>
      <c r="C30" s="264">
        <f aca="true" t="shared" si="16" ref="C30:L30">SUM(C31,C35,C39,C40)</f>
        <v>4550689</v>
      </c>
      <c r="D30" s="264">
        <f t="shared" si="16"/>
        <v>5089284</v>
      </c>
      <c r="E30" s="264">
        <f t="shared" si="16"/>
        <v>7021283</v>
      </c>
      <c r="F30" s="264">
        <f t="shared" si="16"/>
        <v>6884416</v>
      </c>
      <c r="G30" s="264">
        <f t="shared" si="16"/>
        <v>6658817</v>
      </c>
      <c r="H30" s="264">
        <f t="shared" si="16"/>
        <v>7342746</v>
      </c>
      <c r="I30" s="264">
        <f t="shared" si="16"/>
        <v>7323391</v>
      </c>
      <c r="J30" s="264">
        <f t="shared" si="16"/>
        <v>6812405</v>
      </c>
      <c r="K30" s="264">
        <f t="shared" si="16"/>
        <v>4339940</v>
      </c>
      <c r="L30" s="264">
        <f t="shared" si="16"/>
        <v>1167541</v>
      </c>
      <c r="M30" s="319">
        <f>SUM(M31,M35,M39,M40)</f>
        <v>0</v>
      </c>
      <c r="N30" s="265"/>
    </row>
    <row r="31" spans="1:14" s="263" customFormat="1" ht="30">
      <c r="A31" s="243" t="s">
        <v>172</v>
      </c>
      <c r="B31" s="253" t="s">
        <v>17</v>
      </c>
      <c r="C31" s="240">
        <f aca="true" t="shared" si="17" ref="C31:L31">SUM(C32:C34)</f>
        <v>3550689</v>
      </c>
      <c r="D31" s="240">
        <f t="shared" si="17"/>
        <v>2898865</v>
      </c>
      <c r="E31" s="240">
        <f t="shared" si="17"/>
        <v>5066283</v>
      </c>
      <c r="F31" s="240">
        <f t="shared" si="17"/>
        <v>4964416</v>
      </c>
      <c r="G31" s="240">
        <f t="shared" si="17"/>
        <v>4778817</v>
      </c>
      <c r="H31" s="240">
        <f t="shared" si="17"/>
        <v>4482746</v>
      </c>
      <c r="I31" s="240">
        <f t="shared" si="17"/>
        <v>3863391</v>
      </c>
      <c r="J31" s="240">
        <f t="shared" si="17"/>
        <v>1755618</v>
      </c>
      <c r="K31" s="240">
        <f t="shared" si="17"/>
        <v>0</v>
      </c>
      <c r="L31" s="240">
        <f t="shared" si="17"/>
        <v>0</v>
      </c>
      <c r="M31" s="267">
        <f>SUM(M32:M34)</f>
        <v>0</v>
      </c>
      <c r="N31" s="241">
        <v>2311000</v>
      </c>
    </row>
    <row r="32" spans="1:14" s="263" customFormat="1" ht="15" customHeight="1">
      <c r="A32" s="61" t="s">
        <v>173</v>
      </c>
      <c r="B32" s="245" t="s">
        <v>174</v>
      </c>
      <c r="C32" s="246">
        <v>2527600</v>
      </c>
      <c r="D32" s="246">
        <v>1477600</v>
      </c>
      <c r="E32" s="246">
        <v>3700000</v>
      </c>
      <c r="F32" s="246">
        <v>3700000</v>
      </c>
      <c r="G32" s="246">
        <v>3700000</v>
      </c>
      <c r="H32" s="246">
        <v>3638371</v>
      </c>
      <c r="I32" s="246">
        <v>3304000</v>
      </c>
      <c r="J32" s="246">
        <v>1508491</v>
      </c>
      <c r="K32" s="246">
        <v>0</v>
      </c>
      <c r="L32" s="246">
        <v>0</v>
      </c>
      <c r="M32" s="266">
        <v>0</v>
      </c>
      <c r="N32" s="281">
        <v>0</v>
      </c>
    </row>
    <row r="33" spans="1:14" s="263" customFormat="1" ht="51" hidden="1">
      <c r="A33" s="61" t="s">
        <v>78</v>
      </c>
      <c r="B33" s="245" t="s">
        <v>15</v>
      </c>
      <c r="C33" s="246">
        <v>0</v>
      </c>
      <c r="D33" s="120"/>
      <c r="E33" s="120"/>
      <c r="F33" s="120"/>
      <c r="G33" s="120"/>
      <c r="H33" s="120"/>
      <c r="I33" s="120"/>
      <c r="J33" s="120"/>
      <c r="K33" s="120"/>
      <c r="L33" s="120"/>
      <c r="M33" s="266"/>
      <c r="N33" s="247"/>
    </row>
    <row r="34" spans="1:14" s="263" customFormat="1" ht="15" customHeight="1">
      <c r="A34" s="61" t="s">
        <v>78</v>
      </c>
      <c r="B34" s="245" t="s">
        <v>16</v>
      </c>
      <c r="C34" s="246">
        <v>1023089</v>
      </c>
      <c r="D34" s="246">
        <v>1421265</v>
      </c>
      <c r="E34" s="246">
        <f aca="true" t="shared" si="18" ref="E34:J34">ROUND(E44*5%,0)</f>
        <v>1366283</v>
      </c>
      <c r="F34" s="246">
        <f t="shared" si="18"/>
        <v>1264416</v>
      </c>
      <c r="G34" s="246">
        <f t="shared" si="18"/>
        <v>1078817</v>
      </c>
      <c r="H34" s="246">
        <f t="shared" si="18"/>
        <v>844375</v>
      </c>
      <c r="I34" s="246">
        <f t="shared" si="18"/>
        <v>559391</v>
      </c>
      <c r="J34" s="246">
        <f t="shared" si="18"/>
        <v>247127</v>
      </c>
      <c r="K34" s="246">
        <v>0</v>
      </c>
      <c r="L34" s="246">
        <v>0</v>
      </c>
      <c r="M34" s="266">
        <v>0</v>
      </c>
      <c r="N34" s="266">
        <f>ROUND(N44*5%,0)</f>
        <v>12008</v>
      </c>
    </row>
    <row r="35" spans="1:14" s="263" customFormat="1" ht="30">
      <c r="A35" s="243" t="s">
        <v>18</v>
      </c>
      <c r="B35" s="253" t="s">
        <v>19</v>
      </c>
      <c r="C35" s="240">
        <f aca="true" t="shared" si="19" ref="C35:L35">SUM(C36:C38)</f>
        <v>0</v>
      </c>
      <c r="D35" s="240">
        <f t="shared" si="19"/>
        <v>190419</v>
      </c>
      <c r="E35" s="240">
        <f t="shared" si="19"/>
        <v>1955000</v>
      </c>
      <c r="F35" s="240">
        <f t="shared" si="19"/>
        <v>1920000</v>
      </c>
      <c r="G35" s="240">
        <f t="shared" si="19"/>
        <v>1880000</v>
      </c>
      <c r="H35" s="240">
        <f t="shared" si="19"/>
        <v>2860000</v>
      </c>
      <c r="I35" s="240">
        <f t="shared" si="19"/>
        <v>3460000</v>
      </c>
      <c r="J35" s="240">
        <f t="shared" si="19"/>
        <v>5056787</v>
      </c>
      <c r="K35" s="240">
        <f t="shared" si="19"/>
        <v>4339940</v>
      </c>
      <c r="L35" s="240">
        <f t="shared" si="19"/>
        <v>1167541</v>
      </c>
      <c r="M35" s="267">
        <f>SUM(M36:M38)</f>
        <v>0</v>
      </c>
      <c r="N35" s="267"/>
    </row>
    <row r="36" spans="1:14" s="263" customFormat="1" ht="15" customHeight="1">
      <c r="A36" s="61" t="s">
        <v>173</v>
      </c>
      <c r="B36" s="245" t="s">
        <v>174</v>
      </c>
      <c r="C36" s="246">
        <v>0</v>
      </c>
      <c r="D36" s="246">
        <v>0</v>
      </c>
      <c r="E36" s="246">
        <v>1500000</v>
      </c>
      <c r="F36" s="246">
        <v>1500000</v>
      </c>
      <c r="G36" s="246">
        <v>1500000</v>
      </c>
      <c r="H36" s="246">
        <v>2500000</v>
      </c>
      <c r="I36" s="246">
        <f>3100000+20000</f>
        <v>3120000</v>
      </c>
      <c r="J36" s="246">
        <f>4000000+87108+500000+149679</f>
        <v>4736787</v>
      </c>
      <c r="K36" s="246">
        <v>4000000</v>
      </c>
      <c r="L36" s="246">
        <v>942541</v>
      </c>
      <c r="M36" s="266">
        <v>0</v>
      </c>
      <c r="N36" s="247"/>
    </row>
    <row r="37" spans="1:14" s="263" customFormat="1" ht="51" hidden="1">
      <c r="A37" s="61" t="s">
        <v>78</v>
      </c>
      <c r="B37" s="245" t="s">
        <v>15</v>
      </c>
      <c r="C37" s="246">
        <v>0</v>
      </c>
      <c r="D37" s="120"/>
      <c r="E37" s="246"/>
      <c r="F37" s="246"/>
      <c r="G37" s="246"/>
      <c r="H37" s="246"/>
      <c r="I37" s="246"/>
      <c r="J37" s="246"/>
      <c r="K37" s="246"/>
      <c r="L37" s="246"/>
      <c r="M37" s="266"/>
      <c r="N37" s="247"/>
    </row>
    <row r="38" spans="1:14" s="263" customFormat="1" ht="15" customHeight="1">
      <c r="A38" s="61" t="s">
        <v>78</v>
      </c>
      <c r="B38" s="245" t="s">
        <v>16</v>
      </c>
      <c r="C38" s="246">
        <v>0</v>
      </c>
      <c r="D38" s="246">
        <v>190419</v>
      </c>
      <c r="E38" s="246">
        <v>455000</v>
      </c>
      <c r="F38" s="246">
        <v>420000</v>
      </c>
      <c r="G38" s="246">
        <v>380000</v>
      </c>
      <c r="H38" s="246">
        <v>360000</v>
      </c>
      <c r="I38" s="246">
        <v>340000</v>
      </c>
      <c r="J38" s="246">
        <v>320000</v>
      </c>
      <c r="K38" s="246">
        <f>250000+89940</f>
        <v>339940</v>
      </c>
      <c r="L38" s="246">
        <v>225000</v>
      </c>
      <c r="M38" s="266"/>
      <c r="N38" s="247"/>
    </row>
    <row r="39" spans="1:14" s="263" customFormat="1" ht="15" customHeight="1">
      <c r="A39" s="243" t="s">
        <v>22</v>
      </c>
      <c r="B39" s="253" t="s">
        <v>21</v>
      </c>
      <c r="C39" s="240">
        <v>1000000</v>
      </c>
      <c r="D39" s="240">
        <v>2000000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  <c r="J39" s="240">
        <v>0</v>
      </c>
      <c r="K39" s="240">
        <v>0</v>
      </c>
      <c r="L39" s="240">
        <v>0</v>
      </c>
      <c r="M39" s="267">
        <v>0</v>
      </c>
      <c r="N39" s="241">
        <v>1000000</v>
      </c>
    </row>
    <row r="40" spans="1:14" s="263" customFormat="1" ht="15" customHeight="1">
      <c r="A40" s="243" t="s">
        <v>23</v>
      </c>
      <c r="B40" s="253" t="s">
        <v>20</v>
      </c>
      <c r="C40" s="240">
        <v>0</v>
      </c>
      <c r="D40" s="240">
        <v>0</v>
      </c>
      <c r="E40" s="240">
        <v>0</v>
      </c>
      <c r="F40" s="240">
        <v>0</v>
      </c>
      <c r="G40" s="240">
        <v>0</v>
      </c>
      <c r="H40" s="240">
        <v>0</v>
      </c>
      <c r="I40" s="240">
        <v>0</v>
      </c>
      <c r="J40" s="240">
        <v>0</v>
      </c>
      <c r="K40" s="240">
        <v>0</v>
      </c>
      <c r="L40" s="240">
        <v>0</v>
      </c>
      <c r="M40" s="267">
        <v>0</v>
      </c>
      <c r="N40" s="280">
        <v>0</v>
      </c>
    </row>
    <row r="41" spans="1:14" s="261" customFormat="1" ht="25.5" customHeight="1">
      <c r="A41" s="238" t="s">
        <v>123</v>
      </c>
      <c r="B41" s="260" t="s">
        <v>60</v>
      </c>
      <c r="C41" s="240">
        <f aca="true" t="shared" si="20" ref="C41:L41">SUM(C27+C28-C32-C36-C39)</f>
        <v>23429971</v>
      </c>
      <c r="D41" s="240">
        <f t="shared" si="20"/>
        <v>25927587</v>
      </c>
      <c r="E41" s="240">
        <f t="shared" si="20"/>
        <v>27325668</v>
      </c>
      <c r="F41" s="240">
        <f t="shared" si="20"/>
        <v>25288312</v>
      </c>
      <c r="G41" s="240">
        <f t="shared" si="20"/>
        <v>21576345</v>
      </c>
      <c r="H41" s="240">
        <f t="shared" si="20"/>
        <v>16887504</v>
      </c>
      <c r="I41" s="240">
        <f t="shared" si="20"/>
        <v>11187819</v>
      </c>
      <c r="J41" s="240">
        <f t="shared" si="20"/>
        <v>4942541</v>
      </c>
      <c r="K41" s="240">
        <f t="shared" si="20"/>
        <v>942541</v>
      </c>
      <c r="L41" s="240">
        <f t="shared" si="20"/>
        <v>0</v>
      </c>
      <c r="M41" s="267">
        <f>SUM(M27+M28-M32-M36-M39)</f>
        <v>0</v>
      </c>
      <c r="N41" s="241">
        <f>SUM(N27,N28,-N31,-N39)</f>
        <v>240162</v>
      </c>
    </row>
    <row r="42" spans="1:14" s="261" customFormat="1" ht="51" customHeight="1">
      <c r="A42" s="379" t="s">
        <v>125</v>
      </c>
      <c r="B42" s="351" t="s">
        <v>61</v>
      </c>
      <c r="C42" s="240">
        <f>SUM(C32,C36,C40,C39,C34,C38)</f>
        <v>4550689</v>
      </c>
      <c r="D42" s="240">
        <f>SUM(D32,D36,D40,D39,D34,D38)</f>
        <v>5089284</v>
      </c>
      <c r="E42" s="240">
        <f aca="true" t="shared" si="21" ref="E42:L42">SUM(E32,E36,E40,E39,E34,E38)</f>
        <v>7021283</v>
      </c>
      <c r="F42" s="240">
        <f t="shared" si="21"/>
        <v>6884416</v>
      </c>
      <c r="G42" s="240">
        <f t="shared" si="21"/>
        <v>6658817</v>
      </c>
      <c r="H42" s="240">
        <f t="shared" si="21"/>
        <v>7342746</v>
      </c>
      <c r="I42" s="240">
        <f t="shared" si="21"/>
        <v>7323391</v>
      </c>
      <c r="J42" s="240">
        <f t="shared" si="21"/>
        <v>6812405</v>
      </c>
      <c r="K42" s="240">
        <f t="shared" si="21"/>
        <v>4339940</v>
      </c>
      <c r="L42" s="240">
        <f t="shared" si="21"/>
        <v>1167541</v>
      </c>
      <c r="M42" s="267">
        <f>SUM(M32,M36,M40,M39,M34,M38)</f>
        <v>0</v>
      </c>
      <c r="N42" s="241">
        <f>SUM(N31:N39,N22)</f>
        <v>3323008</v>
      </c>
    </row>
    <row r="43" spans="1:14" s="270" customFormat="1" ht="17.25" customHeight="1">
      <c r="A43" s="380"/>
      <c r="B43" s="353"/>
      <c r="C43" s="268">
        <f aca="true" t="shared" si="22" ref="C43:N43">C42/C11</f>
        <v>0.07709589936818549</v>
      </c>
      <c r="D43" s="268">
        <f t="shared" si="22"/>
        <v>0.0849829980034702</v>
      </c>
      <c r="E43" s="268">
        <f t="shared" si="22"/>
        <v>0.1144331290977441</v>
      </c>
      <c r="F43" s="268">
        <f t="shared" si="22"/>
        <v>0.10967982944765618</v>
      </c>
      <c r="G43" s="268">
        <f t="shared" si="22"/>
        <v>0.10370056098733123</v>
      </c>
      <c r="H43" s="268">
        <f t="shared" si="22"/>
        <v>0.11178072086855666</v>
      </c>
      <c r="I43" s="268">
        <f t="shared" si="22"/>
        <v>0.10897954357970577</v>
      </c>
      <c r="J43" s="268">
        <f t="shared" si="22"/>
        <v>0.09909633356926711</v>
      </c>
      <c r="K43" s="268">
        <f t="shared" si="22"/>
        <v>0.061711373904714616</v>
      </c>
      <c r="L43" s="268">
        <f t="shared" si="22"/>
        <v>0.016228485606179302</v>
      </c>
      <c r="M43" s="269">
        <f t="shared" si="22"/>
        <v>0</v>
      </c>
      <c r="N43" s="269">
        <f t="shared" si="22"/>
        <v>0.04383534052930845</v>
      </c>
    </row>
    <row r="44" spans="1:14" s="261" customFormat="1" ht="25.5" customHeight="1">
      <c r="A44" s="238" t="s">
        <v>125</v>
      </c>
      <c r="B44" s="260" t="s">
        <v>24</v>
      </c>
      <c r="C44" s="240">
        <f>SUM(C45:C46)</f>
        <v>23429971</v>
      </c>
      <c r="D44" s="240">
        <f aca="true" t="shared" si="23" ref="D44:K44">SUM(D45:D46)</f>
        <v>25927587</v>
      </c>
      <c r="E44" s="240">
        <f t="shared" si="23"/>
        <v>27325668</v>
      </c>
      <c r="F44" s="240">
        <f t="shared" si="23"/>
        <v>25288312</v>
      </c>
      <c r="G44" s="240">
        <f t="shared" si="23"/>
        <v>21576345</v>
      </c>
      <c r="H44" s="240">
        <f t="shared" si="23"/>
        <v>16887504</v>
      </c>
      <c r="I44" s="240">
        <f t="shared" si="23"/>
        <v>11187819</v>
      </c>
      <c r="J44" s="240">
        <f t="shared" si="23"/>
        <v>4942541</v>
      </c>
      <c r="K44" s="240">
        <f t="shared" si="23"/>
        <v>942541</v>
      </c>
      <c r="L44" s="240">
        <f>SUM(L45:L46)</f>
        <v>0</v>
      </c>
      <c r="M44" s="267">
        <f>SUM(M45:M46)</f>
        <v>0</v>
      </c>
      <c r="N44" s="241">
        <f>SUM(N45:N46)</f>
        <v>240162</v>
      </c>
    </row>
    <row r="45" spans="1:14" s="263" customFormat="1" ht="15" customHeight="1" hidden="1">
      <c r="A45" s="243">
        <v>1</v>
      </c>
      <c r="B45" s="253" t="s">
        <v>62</v>
      </c>
      <c r="C45" s="264">
        <v>21429971</v>
      </c>
      <c r="D45" s="121">
        <f aca="true" t="shared" si="24" ref="D45:L45">C45+D28-D32-D36</f>
        <v>25927587</v>
      </c>
      <c r="E45" s="121">
        <f t="shared" si="24"/>
        <v>27325668</v>
      </c>
      <c r="F45" s="121">
        <f t="shared" si="24"/>
        <v>25288312</v>
      </c>
      <c r="G45" s="121">
        <f t="shared" si="24"/>
        <v>21576345</v>
      </c>
      <c r="H45" s="121">
        <f t="shared" si="24"/>
        <v>16887504</v>
      </c>
      <c r="I45" s="121">
        <f t="shared" si="24"/>
        <v>11187819</v>
      </c>
      <c r="J45" s="121">
        <f t="shared" si="24"/>
        <v>4942541</v>
      </c>
      <c r="K45" s="121">
        <f t="shared" si="24"/>
        <v>942541</v>
      </c>
      <c r="L45" s="121">
        <f t="shared" si="24"/>
        <v>0</v>
      </c>
      <c r="M45" s="319">
        <f>L45+M28-M32-M36</f>
        <v>0</v>
      </c>
      <c r="N45" s="241">
        <f>M45+N28-N31</f>
        <v>1240162</v>
      </c>
    </row>
    <row r="46" spans="1:14" s="263" customFormat="1" ht="15" customHeight="1" hidden="1">
      <c r="A46" s="243">
        <v>2</v>
      </c>
      <c r="B46" s="253" t="s">
        <v>58</v>
      </c>
      <c r="C46" s="264">
        <v>2000000</v>
      </c>
      <c r="D46" s="121">
        <f aca="true" t="shared" si="25" ref="D46:L46">C46-D39</f>
        <v>0</v>
      </c>
      <c r="E46" s="121">
        <f t="shared" si="25"/>
        <v>0</v>
      </c>
      <c r="F46" s="121">
        <f t="shared" si="25"/>
        <v>0</v>
      </c>
      <c r="G46" s="121">
        <f t="shared" si="25"/>
        <v>0</v>
      </c>
      <c r="H46" s="121">
        <f t="shared" si="25"/>
        <v>0</v>
      </c>
      <c r="I46" s="121">
        <f t="shared" si="25"/>
        <v>0</v>
      </c>
      <c r="J46" s="121">
        <f t="shared" si="25"/>
        <v>0</v>
      </c>
      <c r="K46" s="121">
        <f t="shared" si="25"/>
        <v>0</v>
      </c>
      <c r="L46" s="121">
        <f t="shared" si="25"/>
        <v>0</v>
      </c>
      <c r="M46" s="319">
        <f>L46-M39</f>
        <v>0</v>
      </c>
      <c r="N46" s="241">
        <f>M46-N39</f>
        <v>-1000000</v>
      </c>
    </row>
    <row r="47" spans="1:14" s="272" customFormat="1" ht="51">
      <c r="A47" s="271" t="s">
        <v>77</v>
      </c>
      <c r="B47" s="245" t="s">
        <v>25</v>
      </c>
      <c r="C47" s="213">
        <v>0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320">
        <v>0</v>
      </c>
      <c r="N47" s="254"/>
    </row>
    <row r="48" spans="1:14" s="275" customFormat="1" ht="21" customHeight="1">
      <c r="A48" s="252" t="s">
        <v>209</v>
      </c>
      <c r="B48" s="260" t="s">
        <v>186</v>
      </c>
      <c r="C48" s="273">
        <f aca="true" t="shared" si="26" ref="C48:L48">C44/C11</f>
        <v>0.39694092178470214</v>
      </c>
      <c r="D48" s="273">
        <f t="shared" si="26"/>
        <v>0.43294971832104473</v>
      </c>
      <c r="E48" s="273">
        <f t="shared" si="26"/>
        <v>0.44535474412954085</v>
      </c>
      <c r="F48" s="273">
        <f t="shared" si="26"/>
        <v>0.40288351941241163</v>
      </c>
      <c r="G48" s="273">
        <f t="shared" si="26"/>
        <v>0.3360175058957468</v>
      </c>
      <c r="H48" s="273">
        <f t="shared" si="26"/>
        <v>0.25708329973427296</v>
      </c>
      <c r="I48" s="273">
        <f t="shared" si="26"/>
        <v>0.1664861821896933</v>
      </c>
      <c r="J48" s="273">
        <f t="shared" si="26"/>
        <v>0.07189644356373102</v>
      </c>
      <c r="K48" s="273">
        <f t="shared" si="26"/>
        <v>0.013402374242852117</v>
      </c>
      <c r="L48" s="273">
        <f t="shared" si="26"/>
        <v>0</v>
      </c>
      <c r="M48" s="274">
        <f>M44/M11</f>
        <v>0</v>
      </c>
      <c r="N48" s="274">
        <f>N44/N11</f>
        <v>0.003168088386245166</v>
      </c>
    </row>
    <row r="49" spans="1:14" s="278" customFormat="1" ht="25.5">
      <c r="A49" s="252" t="s">
        <v>210</v>
      </c>
      <c r="B49" s="260" t="s">
        <v>187</v>
      </c>
      <c r="C49" s="276">
        <f aca="true" t="shared" si="27" ref="C49:L49">(C42/C11)</f>
        <v>0.07709589936818549</v>
      </c>
      <c r="D49" s="276">
        <f t="shared" si="27"/>
        <v>0.0849829980034702</v>
      </c>
      <c r="E49" s="276">
        <f t="shared" si="27"/>
        <v>0.1144331290977441</v>
      </c>
      <c r="F49" s="276">
        <f t="shared" si="27"/>
        <v>0.10967982944765618</v>
      </c>
      <c r="G49" s="276">
        <f t="shared" si="27"/>
        <v>0.10370056098733123</v>
      </c>
      <c r="H49" s="276">
        <f t="shared" si="27"/>
        <v>0.11178072086855666</v>
      </c>
      <c r="I49" s="276">
        <f t="shared" si="27"/>
        <v>0.10897954357970577</v>
      </c>
      <c r="J49" s="276">
        <f t="shared" si="27"/>
        <v>0.09909633356926711</v>
      </c>
      <c r="K49" s="276">
        <f t="shared" si="27"/>
        <v>0.061711373904714616</v>
      </c>
      <c r="L49" s="276">
        <f t="shared" si="27"/>
        <v>0.016228485606179302</v>
      </c>
      <c r="M49" s="277">
        <f>(M42/M11)</f>
        <v>0</v>
      </c>
      <c r="N49" s="277"/>
    </row>
    <row r="50" spans="1:14" s="44" customFormat="1" ht="17.25" customHeight="1">
      <c r="A50" s="252" t="s">
        <v>211</v>
      </c>
      <c r="B50" s="260" t="s">
        <v>188</v>
      </c>
      <c r="C50" s="276">
        <f aca="true" t="shared" si="28" ref="C50:L50">C44/C11</f>
        <v>0.39694092178470214</v>
      </c>
      <c r="D50" s="276">
        <f t="shared" si="28"/>
        <v>0.43294971832104473</v>
      </c>
      <c r="E50" s="276">
        <f t="shared" si="28"/>
        <v>0.44535474412954085</v>
      </c>
      <c r="F50" s="276">
        <f t="shared" si="28"/>
        <v>0.40288351941241163</v>
      </c>
      <c r="G50" s="276">
        <f t="shared" si="28"/>
        <v>0.3360175058957468</v>
      </c>
      <c r="H50" s="276">
        <f t="shared" si="28"/>
        <v>0.25708329973427296</v>
      </c>
      <c r="I50" s="276">
        <f t="shared" si="28"/>
        <v>0.1664861821896933</v>
      </c>
      <c r="J50" s="276">
        <f t="shared" si="28"/>
        <v>0.07189644356373102</v>
      </c>
      <c r="K50" s="276">
        <f t="shared" si="28"/>
        <v>0.013402374242852117</v>
      </c>
      <c r="L50" s="276">
        <f t="shared" si="28"/>
        <v>0</v>
      </c>
      <c r="M50" s="277">
        <f>M44/M11</f>
        <v>0</v>
      </c>
      <c r="N50" s="277"/>
    </row>
    <row r="51" spans="1:14" s="44" customFormat="1" ht="24.75" customHeight="1">
      <c r="A51" s="252" t="s">
        <v>212</v>
      </c>
      <c r="B51" s="260" t="s">
        <v>189</v>
      </c>
      <c r="C51" s="276">
        <f aca="true" t="shared" si="29" ref="C51:L51">C42/C11</f>
        <v>0.07709589936818549</v>
      </c>
      <c r="D51" s="276">
        <f t="shared" si="29"/>
        <v>0.0849829980034702</v>
      </c>
      <c r="E51" s="276">
        <f t="shared" si="29"/>
        <v>0.1144331290977441</v>
      </c>
      <c r="F51" s="276">
        <f t="shared" si="29"/>
        <v>0.10967982944765618</v>
      </c>
      <c r="G51" s="276">
        <f t="shared" si="29"/>
        <v>0.10370056098733123</v>
      </c>
      <c r="H51" s="276">
        <f t="shared" si="29"/>
        <v>0.11178072086855666</v>
      </c>
      <c r="I51" s="276">
        <f t="shared" si="29"/>
        <v>0.10897954357970577</v>
      </c>
      <c r="J51" s="276">
        <f t="shared" si="29"/>
        <v>0.09909633356926711</v>
      </c>
      <c r="K51" s="276">
        <f t="shared" si="29"/>
        <v>0.061711373904714616</v>
      </c>
      <c r="L51" s="276">
        <f t="shared" si="29"/>
        <v>0.016228485606179302</v>
      </c>
      <c r="M51" s="277">
        <f>M42/M11</f>
        <v>0</v>
      </c>
      <c r="N51" s="277"/>
    </row>
    <row r="52" spans="1:13" ht="12.75">
      <c r="A52" s="39"/>
      <c r="D52" s="35"/>
      <c r="E52" s="35"/>
      <c r="F52" s="62"/>
      <c r="G52" s="39"/>
      <c r="H52" s="35"/>
      <c r="I52" s="35"/>
      <c r="J52" s="35"/>
      <c r="K52" s="35"/>
      <c r="L52" s="62"/>
      <c r="M52" s="39"/>
    </row>
    <row r="53" spans="1:14" ht="12.75" hidden="1">
      <c r="A53" s="39"/>
      <c r="D53" s="35"/>
      <c r="E53" s="35">
        <f>E41*5%</f>
        <v>1366283.4000000001</v>
      </c>
      <c r="F53" s="35">
        <f aca="true" t="shared" si="30" ref="F53:N53">F41*5%</f>
        <v>1264415.6</v>
      </c>
      <c r="G53" s="35">
        <f t="shared" si="30"/>
        <v>1078817.25</v>
      </c>
      <c r="H53" s="35">
        <f t="shared" si="30"/>
        <v>844375.2000000001</v>
      </c>
      <c r="I53" s="35">
        <f t="shared" si="30"/>
        <v>559390.9500000001</v>
      </c>
      <c r="J53" s="35">
        <f t="shared" si="30"/>
        <v>247127.05000000002</v>
      </c>
      <c r="K53" s="35">
        <f t="shared" si="30"/>
        <v>47127.05</v>
      </c>
      <c r="L53" s="35">
        <f t="shared" si="30"/>
        <v>0</v>
      </c>
      <c r="M53" s="35">
        <f t="shared" si="30"/>
        <v>0</v>
      </c>
      <c r="N53" s="87">
        <f t="shared" si="30"/>
        <v>12008.1</v>
      </c>
    </row>
    <row r="54" spans="1:13" ht="12.75">
      <c r="A54" s="39"/>
      <c r="D54" s="35"/>
      <c r="E54" s="35"/>
      <c r="F54" s="62"/>
      <c r="G54" s="39"/>
      <c r="H54" s="35"/>
      <c r="I54" s="35"/>
      <c r="J54" s="35"/>
      <c r="K54" s="35"/>
      <c r="L54" s="62"/>
      <c r="M54" s="39"/>
    </row>
    <row r="55" spans="1:13" ht="12.75">
      <c r="A55" s="39"/>
      <c r="D55" s="35"/>
      <c r="E55" s="35"/>
      <c r="F55" s="62"/>
      <c r="G55" s="39"/>
      <c r="H55" s="35"/>
      <c r="I55" s="35"/>
      <c r="J55" s="35"/>
      <c r="K55" s="35"/>
      <c r="L55" s="62"/>
      <c r="M55" s="39"/>
    </row>
    <row r="56" spans="1:13" ht="12.75">
      <c r="A56" s="39"/>
      <c r="D56" s="35"/>
      <c r="E56" s="35"/>
      <c r="F56" s="62"/>
      <c r="G56" s="39"/>
      <c r="H56" s="35"/>
      <c r="I56" s="35"/>
      <c r="J56" s="35"/>
      <c r="K56" s="35"/>
      <c r="L56" s="62"/>
      <c r="M56" s="39"/>
    </row>
    <row r="57" spans="4:13" ht="12.75">
      <c r="D57" s="35"/>
      <c r="E57" s="35"/>
      <c r="F57" s="62"/>
      <c r="G57" s="35"/>
      <c r="H57" s="35"/>
      <c r="I57" s="35"/>
      <c r="J57" s="35"/>
      <c r="K57" s="35"/>
      <c r="L57" s="62"/>
      <c r="M57" s="35"/>
    </row>
    <row r="58" spans="4:13" ht="12.75">
      <c r="D58" s="35"/>
      <c r="E58" s="35"/>
      <c r="F58" s="62"/>
      <c r="G58" s="35"/>
      <c r="H58" s="35"/>
      <c r="I58" s="35"/>
      <c r="J58" s="35"/>
      <c r="K58" s="35"/>
      <c r="L58" s="62"/>
      <c r="M58" s="35"/>
    </row>
    <row r="59" spans="4:13" ht="12.75">
      <c r="D59" s="35"/>
      <c r="E59" s="35"/>
      <c r="F59" s="62"/>
      <c r="G59" s="35"/>
      <c r="H59" s="35"/>
      <c r="I59" s="35"/>
      <c r="J59" s="35"/>
      <c r="K59" s="35"/>
      <c r="L59" s="62"/>
      <c r="M59" s="35"/>
    </row>
    <row r="60" spans="4:13" ht="12.75">
      <c r="D60" s="35"/>
      <c r="E60" s="35"/>
      <c r="F60" s="62"/>
      <c r="G60" s="35"/>
      <c r="H60" s="35"/>
      <c r="I60" s="35"/>
      <c r="J60" s="35"/>
      <c r="K60" s="35"/>
      <c r="L60" s="62"/>
      <c r="M60" s="35"/>
    </row>
    <row r="61" spans="4:13" ht="12.75">
      <c r="D61" s="35"/>
      <c r="E61" s="35"/>
      <c r="F61" s="62"/>
      <c r="G61" s="35"/>
      <c r="H61" s="35"/>
      <c r="I61" s="35"/>
      <c r="J61" s="35"/>
      <c r="K61" s="35"/>
      <c r="L61" s="62"/>
      <c r="M61" s="35"/>
    </row>
    <row r="62" spans="4:13" ht="12.75"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4:13" ht="12.75"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4:13" ht="12.75"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4:13" ht="12.75"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4:13" ht="12.75"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4:13" ht="12.75"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4:13" ht="12.75"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4:13" ht="12.75"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4:13" ht="12.75"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4:13" ht="12.75"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4:13" ht="12.75"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4:13" ht="12.75"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4:13" ht="12.75"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4:13" ht="12.75"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4:13" ht="12.75">
      <c r="D76" s="35"/>
      <c r="E76" s="35"/>
      <c r="F76" s="35"/>
      <c r="G76" s="35"/>
      <c r="H76" s="35"/>
      <c r="I76" s="35"/>
      <c r="J76" s="35"/>
      <c r="K76" s="35"/>
      <c r="L76" s="35"/>
      <c r="M76" s="35"/>
    </row>
  </sheetData>
  <mergeCells count="5">
    <mergeCell ref="G7:J7"/>
    <mergeCell ref="K7:N7"/>
    <mergeCell ref="A42:A43"/>
    <mergeCell ref="B42:B43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2008-02-27T07:56:54Z</cp:lastPrinted>
  <dcterms:created xsi:type="dcterms:W3CDTF">1998-12-09T13:02:10Z</dcterms:created>
  <dcterms:modified xsi:type="dcterms:W3CDTF">2008-02-28T14:08:39Z</dcterms:modified>
  <cp:category/>
  <cp:version/>
  <cp:contentType/>
  <cp:contentStatus/>
</cp:coreProperties>
</file>