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firstSheet="1" activeTab="9"/>
  </bookViews>
  <sheets>
    <sheet name="zał2-sfin" sheetId="1" r:id="rId1"/>
    <sheet name="zał3-zlecone" sheetId="2" r:id="rId2"/>
    <sheet name="zał4-prog wielol" sheetId="3" r:id="rId3"/>
    <sheet name="zał5-poroz" sheetId="4" r:id="rId4"/>
    <sheet name="zał6-gosp" sheetId="5" r:id="rId5"/>
    <sheet name="zał7-zadania" sheetId="6" r:id="rId6"/>
    <sheet name="zał8-F.Ochr Środ" sheetId="7" r:id="rId7"/>
    <sheet name="zał9-F.Geod" sheetId="8" r:id="rId8"/>
    <sheet name="zał10-progn" sheetId="9" r:id="rId9"/>
    <sheet name="zał11-syt finans" sheetId="10" r:id="rId10"/>
  </sheets>
  <definedNames>
    <definedName name="_xlnm.Print_Titles" localSheetId="8">'zał10-progn'!$A:$B</definedName>
    <definedName name="_xlnm.Print_Titles" localSheetId="9">'zał11-syt finans'!$A:$B</definedName>
    <definedName name="_xlnm.Print_Titles" localSheetId="1">'zał3-zlecone'!$9:$10</definedName>
    <definedName name="_xlnm.Print_Titles" localSheetId="2">'zał4-prog wielol'!$10:$13</definedName>
    <definedName name="_xlnm.Print_Titles" localSheetId="3">'zał5-poroz'!$8:$11</definedName>
  </definedNames>
  <calcPr fullCalcOnLoad="1"/>
</workbook>
</file>

<file path=xl/sharedStrings.xml><?xml version="1.0" encoding="utf-8"?>
<sst xmlns="http://schemas.openxmlformats.org/spreadsheetml/2006/main" count="955" uniqueCount="428">
  <si>
    <t xml:space="preserve"> na podstawie porozumień (umów) między jednostkami samorządu terytorialnego w 2007 r.</t>
  </si>
  <si>
    <t>dotacje</t>
  </si>
  <si>
    <t>Wydatki ogółem (7+11)</t>
  </si>
  <si>
    <t xml:space="preserve">Całoroczne utrzymanie dróg powiatowych w miastach, w tym: </t>
  </si>
  <si>
    <t>Gmina Miejska Lubawa - 47.230,-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</si>
  <si>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</si>
  <si>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</si>
  <si>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</si>
  <si>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</si>
  <si>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</si>
  <si>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</si>
  <si>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>Powiat Kwidzyński -      13.835,-zł</t>
  </si>
  <si>
    <t>Powiat Grodzki Elbląg -  26.752,-zł</t>
  </si>
  <si>
    <t>Dofinansowanie modernizacji ul. Rzepnikowskiego w Lubawie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</si>
  <si>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</si>
  <si>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</si>
  <si>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Dotacja dla budżetu Powiatu Działdowskiego na pokrycie kosztów utrzymania dzieci w rodzinie zastępczej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</si>
  <si>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</si>
  <si>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</si>
  <si>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</si>
  <si>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</si>
  <si>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</si>
  <si>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</si>
  <si>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Limity wydatków na wieloletnie programy inwestycyjne w latach 2007-2009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</si>
  <si>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</si>
  <si>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</si>
  <si>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</si>
  <si>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</si>
  <si>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</si>
  <si>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</si>
  <si>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</si>
  <si>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</si>
  <si>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</si>
  <si>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</si>
  <si>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</si>
  <si>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w tym wydatki na wieloletnie programy inwestycyjne</t>
  </si>
  <si>
    <t>Plan na rok 2007</t>
  </si>
  <si>
    <t>Źródła sfinansowania deficytu lub rozdysponowanie                                                           nadwyżki budżetowej w 2007 r.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</si>
  <si>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</si>
  <si>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</si>
  <si>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</si>
  <si>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</si>
  <si>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</si>
  <si>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</si>
  <si>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</si>
  <si>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</si>
  <si>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</si>
  <si>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</si>
  <si>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</si>
  <si>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</si>
  <si>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</si>
  <si>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</si>
  <si>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</si>
  <si>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</si>
  <si>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</si>
  <si>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</si>
  <si>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</si>
  <si>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</si>
  <si>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</si>
  <si>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</si>
  <si>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</si>
  <si>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</si>
  <si>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§ 937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</si>
  <si>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</si>
  <si>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</si>
  <si>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</si>
  <si>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</si>
  <si>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</si>
  <si>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</si>
  <si>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Rok 2008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</si>
  <si>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</si>
  <si>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</si>
  <si>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</si>
  <si>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</si>
  <si>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</si>
  <si>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</si>
  <si>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</si>
  <si>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</si>
  <si>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</si>
  <si>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</si>
  <si>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</si>
  <si>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</si>
  <si>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</si>
  <si>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</si>
  <si>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</si>
  <si>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</si>
  <si>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Kredyty zaciągnięte w danym roku budżetowym, w tym: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</si>
  <si>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</si>
  <si>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</si>
  <si>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</si>
  <si>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</si>
  <si>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</si>
  <si>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Gospodarki Zasobem Geodezyjnym i Kartograficznym</t>
  </si>
  <si>
    <t>§ 0830 - Wpływy z usług</t>
  </si>
  <si>
    <t>§ 4270 - Zakup usług remontowych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</si>
  <si>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</si>
  <si>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</si>
  <si>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</si>
  <si>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</si>
  <si>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</si>
  <si>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</si>
  <si>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</si>
  <si>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</si>
  <si>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</si>
  <si>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</si>
  <si>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</si>
  <si>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</si>
  <si>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</si>
  <si>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</si>
  <si>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</si>
  <si>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</si>
  <si>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</si>
  <si>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</si>
  <si>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</si>
  <si>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</si>
  <si>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</si>
  <si>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</si>
  <si>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</si>
  <si>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</si>
  <si>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</si>
  <si>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</si>
  <si>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</si>
  <si>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</si>
  <si>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</si>
  <si>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</si>
  <si>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</si>
  <si>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</si>
  <si>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</si>
  <si>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</si>
  <si>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</si>
  <si>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</si>
  <si>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</si>
  <si>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</si>
  <si>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</si>
  <si>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</si>
  <si>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</si>
  <si>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</si>
  <si>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</si>
  <si>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</si>
  <si>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</si>
  <si>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</si>
  <si>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</si>
  <si>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</si>
  <si>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</si>
  <si>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</si>
  <si>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</si>
  <si>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</si>
  <si>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</si>
  <si>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</si>
  <si>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</si>
  <si>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</si>
  <si>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</si>
  <si>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</si>
  <si>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</si>
  <si>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</si>
  <si>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</si>
  <si>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</si>
  <si>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</si>
  <si>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</si>
  <si>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Nazwa zadania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</si>
  <si>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</si>
  <si>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</si>
  <si>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</si>
  <si>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</si>
  <si>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</si>
  <si>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</si>
  <si>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</si>
  <si>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</si>
  <si>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</si>
  <si>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</si>
  <si>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</si>
  <si>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</si>
  <si>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</si>
  <si>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</si>
  <si>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</si>
  <si>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</si>
  <si>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</si>
  <si>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</si>
  <si>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</si>
  <si>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</si>
  <si>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</si>
  <si>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</si>
  <si>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</si>
  <si>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</si>
  <si>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</si>
  <si>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</si>
  <si>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</si>
  <si>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</si>
  <si>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</si>
  <si>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</si>
  <si>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</si>
  <si>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</si>
  <si>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</si>
  <si>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</si>
  <si>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</si>
  <si>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</si>
  <si>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</si>
  <si>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</si>
  <si>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</si>
  <si>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</si>
  <si>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</si>
  <si>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</si>
  <si>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</si>
  <si>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</si>
  <si>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</si>
  <si>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</si>
  <si>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</si>
  <si>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</si>
  <si>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</si>
  <si>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</si>
  <si>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</si>
  <si>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</si>
  <si>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</si>
  <si>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</si>
  <si>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</si>
  <si>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</si>
  <si>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</si>
  <si>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</si>
  <si>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</si>
  <si>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</si>
  <si>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</si>
  <si>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</si>
  <si>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</si>
  <si>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</si>
  <si>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</si>
  <si>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</si>
  <si>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</si>
  <si>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</si>
  <si>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</si>
  <si>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</si>
  <si>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</si>
  <si>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</si>
  <si>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</si>
  <si>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</si>
  <si>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</si>
  <si>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</si>
  <si>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</si>
  <si>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</si>
  <si>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</si>
  <si>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</si>
  <si>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</si>
  <si>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</si>
  <si>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</si>
  <si>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</si>
  <si>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</si>
  <si>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Jednostka organizacyjna realizująca zadanie</t>
  </si>
  <si>
    <t>Rok 2006</t>
  </si>
  <si>
    <t>Kredyty i pożyczki</t>
  </si>
  <si>
    <t>PZD Iława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</si>
  <si>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</si>
  <si>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</si>
  <si>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</si>
  <si>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</si>
  <si>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</si>
  <si>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</si>
  <si>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</si>
  <si>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</si>
  <si>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</si>
  <si>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>Zapewnienie bezpiecznego wypoczynku na akwenach wodnychwypoczywających mieszkańców Powiatu oraz przybyłych turystów</t>
  </si>
  <si>
    <t>Promocja zdrowia w powiecie iławskim</t>
  </si>
  <si>
    <t>Prowadzenie placówki rodzinnej - Rodzinny Dom Dziecka</t>
  </si>
  <si>
    <t>Realizacja programu "Równe Szanse" polegającego na wspieraniu pomocą stypendialną studentów i uczniów szkół ponadgimnazjalnych</t>
  </si>
  <si>
    <t>Dofinansowanie imprez sportowych i rekreacyjnych dla mieszkańców powiatu</t>
  </si>
  <si>
    <t xml:space="preserve">Ochrony Środowiska i Gospodarki Wodnej </t>
  </si>
  <si>
    <t>Szkolenie i kwalifikacja kandydatów do pełnienia funkcji rodzin zastępczych niespokrewnionych z dziekiem oraz zawodowych rodzin zastępczych niespokrewnionych z dzieckiem</t>
  </si>
  <si>
    <t>Współpraca z organizacjami pozarządowymi</t>
  </si>
  <si>
    <t>Współfinansowanie kosztów zatrudnienia pracownika oddelegowanego do pracy w Międzyzwiązkowej Organizacji Związkowej obsługującego szkoły i placówki na terenie miasta Iława - porozumienie z miastem Iława</t>
  </si>
  <si>
    <t>§ 0920 - Pozostałe odsetki</t>
  </si>
  <si>
    <t>Dotacja dla budżetu Miasta Katowice na pokrycie kosztów utrzymania dziecka w rodzinie zastępczej</t>
  </si>
  <si>
    <t>§ 4260 - Zakup energii</t>
  </si>
  <si>
    <t>RACHUNEK DOCHODÓW WŁASNYCH w tym:</t>
  </si>
  <si>
    <t xml:space="preserve"> </t>
  </si>
  <si>
    <t xml:space="preserve">                     Załącznik Nr 4</t>
  </si>
  <si>
    <t>w tym:</t>
  </si>
  <si>
    <t>z tego: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</si>
  <si>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</si>
  <si>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</si>
  <si>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</si>
  <si>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</si>
  <si>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</si>
  <si>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</si>
  <si>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</si>
  <si>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</si>
  <si>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</si>
  <si>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</si>
  <si>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</si>
  <si>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</si>
  <si>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Rozliczenie z budżetem z tytułu wpłat nadwyzek środków za 2006r.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</si>
  <si>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</si>
  <si>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</si>
  <si>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</si>
  <si>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</si>
  <si>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oraz dochodów i wydatków rachunków dochodów własnych na rok 2007</t>
  </si>
  <si>
    <t>Powiatowe Centrum Kształcenia Praktycznego w Iławie</t>
  </si>
  <si>
    <t>Powiatowy Środowiskowy Dom Samopomocy w Iławie</t>
  </si>
  <si>
    <t xml:space="preserve">                     Załącznik Nr 9</t>
  </si>
  <si>
    <t>Kwota dotacji</t>
  </si>
  <si>
    <t xml:space="preserve">           Dotacje celowe na zadania własne powiatu realizowane przez podmioty należące</t>
  </si>
  <si>
    <t>i nienależące do sektora finansów publicznych w 2007 r.</t>
  </si>
  <si>
    <t>Dofinansowanie imprez kulturalnych o zasięgu powiatowym</t>
  </si>
  <si>
    <t>Szkolenie z zakresu ochrony praw konsumenta</t>
  </si>
  <si>
    <t xml:space="preserve">Zmiana układu komunikacyjnego w Iławie ul. Andersa </t>
  </si>
  <si>
    <t>Modernizaja  drogi powiatowej Nr 09571 Różanki-Babięty, odcinek Różanki-Redaki</t>
  </si>
  <si>
    <t>Modernizacja drogi powiatowej Nr 09583 Ogrodzieniec-Trupel na odcinku 3,1 km</t>
  </si>
  <si>
    <t>Dofinansowanie modernizacji ul. Narutowicza w Iławie</t>
  </si>
  <si>
    <t xml:space="preserve">                     Załącznik Nr 10</t>
  </si>
  <si>
    <t>Plan na 2007 r.</t>
  </si>
  <si>
    <t>Przelewy redystrycyjne</t>
  </si>
  <si>
    <t>3.1.</t>
  </si>
  <si>
    <t>Odpis 10% od przychodów własnych dla funduszu centralnego</t>
  </si>
  <si>
    <t>3.2.</t>
  </si>
  <si>
    <t>Odpis 10% od przychodów własnych dla funduszu wojewódzkiego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</si>
  <si>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</si>
  <si>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</si>
  <si>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</si>
  <si>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</si>
  <si>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Wykonanie 2006</t>
  </si>
  <si>
    <t xml:space="preserve">Porozumienie z Miastem Stołecznym Warszawa - koszty pobytu dzieci z Warszawy w Placówce Rodzinnej w Zalewie </t>
  </si>
  <si>
    <t>Gmina Kisielice: 8.327,-zł</t>
  </si>
  <si>
    <t>Partycypacja w kosztach utrzymania placówki opiekuńczo-wychowawczej w Kisielicach</t>
  </si>
  <si>
    <t>Porozumienie z Marszałkiem Województwa Warmińsko-Mazurskiego - Realizacja programu "Wrota Warmii i Mazur - efektywna platforma funkcjonowania administracji publicznych oraz świadczenia usług publicznych</t>
  </si>
  <si>
    <t>§ 4370 - Opłaty z tytułu zakupu usług telekomunikacyjnych telefonii stacjonarnej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</si>
  <si>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</si>
  <si>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</si>
  <si>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</si>
  <si>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Projekt i przebudowa drogi Nr 1329N Boreczno-Iława, drogi Nr 1194N: od drogi Nr 1307N Zalewo-Miłomłyn na odcinku Boreczno do skrzyżowania z droga Nr 1307N Susz -Zalewo oraz odcinku drogi Nr 1307N od skrzyżowania z drogą Nr 1194N do Zalewa</t>
  </si>
  <si>
    <t>Wykonanie 2006 r.</t>
  </si>
  <si>
    <t>Dofinansowanie zakupu inkubatora ze stanowiskiem resuscytacji noworodków (Gmina Miejska Lubawa)</t>
  </si>
  <si>
    <t>Gmina Miejska Zalewo: 30.164,-zł</t>
  </si>
  <si>
    <t>Gmina Wiejska Lubawa: 26.053,-zł</t>
  </si>
  <si>
    <t>Wykonanie</t>
  </si>
  <si>
    <t>Dochody przyznane z tyt. dotacji na realizację zadań z zakresu adm. rząd</t>
  </si>
  <si>
    <t>Dochody do przekazania do budżetu państwa lub budżetu j.s.t.</t>
  </si>
  <si>
    <t>Składki na ubezpieczenia społeczne</t>
  </si>
  <si>
    <t>Składki na Fundusz Pracy</t>
  </si>
  <si>
    <t>Wynagrodzenia bezosobowe</t>
  </si>
  <si>
    <t>Zakup usług pozostałych</t>
  </si>
  <si>
    <t>01008</t>
  </si>
  <si>
    <t>Melioracje wodne</t>
  </si>
  <si>
    <t>2350</t>
  </si>
  <si>
    <t>Dochody budżetu państwa związane z realizacja zadań zlecanych jednostkom samorządu terytorialnego</t>
  </si>
  <si>
    <t>4300</t>
  </si>
  <si>
    <t>4430</t>
  </si>
  <si>
    <t>Różne opłaty i składki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</si>
  <si>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</si>
  <si>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</si>
  <si>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</si>
  <si>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</si>
  <si>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</si>
  <si>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</si>
  <si>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4110</t>
  </si>
  <si>
    <t>Składki na ubezpieczenie społeczne</t>
  </si>
  <si>
    <t>4120</t>
  </si>
  <si>
    <t>4170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</si>
  <si>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</si>
  <si>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</si>
  <si>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</si>
  <si>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</si>
  <si>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</si>
  <si>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</si>
  <si>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</si>
  <si>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</si>
  <si>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Rózne opłaty i składki</t>
  </si>
  <si>
    <t>4440</t>
  </si>
  <si>
    <t>Odpisy na zakładowy fundusz świadczeń socjalnych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</si>
  <si>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</si>
  <si>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</si>
  <si>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</si>
  <si>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</si>
  <si>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</si>
  <si>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</si>
  <si>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</si>
  <si>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</si>
  <si>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4180</t>
  </si>
  <si>
    <t>Równowazniki pienieżne i ekwiwalenty dla żołnierzy i funkcjonariuszy</t>
  </si>
  <si>
    <t>4220</t>
  </si>
  <si>
    <t>Zakup środków żywności</t>
  </si>
  <si>
    <t>4280</t>
  </si>
  <si>
    <t>Zakup usług zdrowotnych</t>
  </si>
  <si>
    <t>4500</t>
  </si>
  <si>
    <t>Pozostałe podatki na rzecz budżetów jednostek samorządu terytorialnego</t>
  </si>
  <si>
    <t>4510</t>
  </si>
  <si>
    <t>Opłaty na rzecz budżetu państwa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</si>
  <si>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</si>
  <si>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</si>
  <si>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</si>
  <si>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</si>
  <si>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</si>
  <si>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4350</t>
  </si>
  <si>
    <t>Zakup usług dostępu do sieci Internet</t>
  </si>
  <si>
    <t xml:space="preserve">          zleconych powiatowi i innych zadań zleconych ustawami w 2007 roku</t>
  </si>
  <si>
    <t>4480</t>
  </si>
  <si>
    <t>4750</t>
  </si>
  <si>
    <t>4370</t>
  </si>
  <si>
    <t>4400</t>
  </si>
  <si>
    <t>4740</t>
  </si>
  <si>
    <t>4080</t>
  </si>
  <si>
    <t>4360</t>
  </si>
  <si>
    <t>Opłaty z tytułu zakupu usług komunikacyjnych telefonii stacjonarnej</t>
  </si>
  <si>
    <t>Opłaty czynszowe za pomieszczenia biurowe</t>
  </si>
  <si>
    <t>Zakup materiałów papierniczych do sprzętu drukarskiego i urządzeń kserograficznych</t>
  </si>
  <si>
    <t>Opłaty z tytułu zakupu usług telekomunikacyjnych telefonii komórkowej</t>
  </si>
  <si>
    <t>Zakup akcesoriów komputerowych, w tym programów i licencji</t>
  </si>
  <si>
    <t>Uposażenia i świadczenia pieniężne wypłacane przez okres roku żołnierzom i funkcjonariuszom zwolnionym ze służby</t>
  </si>
  <si>
    <t>IX.1</t>
  </si>
  <si>
    <t>IX.2</t>
  </si>
  <si>
    <t>X.1</t>
  </si>
  <si>
    <t>X.2</t>
  </si>
  <si>
    <t xml:space="preserve">                     Załącznik Nr 5</t>
  </si>
  <si>
    <t>Dotacje celowe otrzymane od samorządu województwa na zadania bieżące realizowane na podstawie porozumień (umów) między jednostkami samorządu terytorialnego</t>
  </si>
  <si>
    <t>Dotacje otrzymane z gminy na zadania bieżące realizowane na podstawie porozumień między jst</t>
  </si>
  <si>
    <t>Dofinansowanie remontu dachu budynku Komendy Powiatowej Straży Pożarnej (Gmina Miejska Iława) - 23.000,-zł</t>
  </si>
  <si>
    <t>Dofinansowanie pobutu młodzieży z Zespołu Szkół Ogólnokształcących w Iławie w sesji Młodzieżowej Parlamentu Europejskiego Regionu Morza Bałtyckiego w Malmo i Kopenhadze - porozumienie z Gminą Miejską Iława</t>
  </si>
  <si>
    <t xml:space="preserve">Zatrudnienie pracownika do pracy z dziećmi i młodzieżą zagrożoną destrukcją społeczną oraz uzależnieniem od alkoholu i substancji psychoaktywnych - 15.900,-zł </t>
  </si>
  <si>
    <t xml:space="preserve">                                      do Uchwały Rady Powiatu Nr IX/        /07</t>
  </si>
  <si>
    <t>Komenda Powiatowa Państwowej Straży Pożarnej</t>
  </si>
  <si>
    <t xml:space="preserve">                                      do Uchwały Rady Powiatu Nr IX/      /07</t>
  </si>
  <si>
    <t>Dofinansowanie zmiany układu komunikacyjnego w Iławie ul. Andersa - Gmina Wiejska Iława</t>
  </si>
  <si>
    <t>Powiat Ostródzki -         41.143,-zł</t>
  </si>
  <si>
    <t>Powiat Działdowski - 8.100,-zł</t>
  </si>
  <si>
    <t>Powiat Malborski - 9.200,-zł</t>
  </si>
  <si>
    <t xml:space="preserve">                     Załącznik Nr 7</t>
  </si>
  <si>
    <t xml:space="preserve">                                      z dnia 29 czerwca 2007 roku</t>
  </si>
  <si>
    <t>4700</t>
  </si>
  <si>
    <t>Szkolenia pracowników nie będących CZ.K.S.C.</t>
  </si>
  <si>
    <t>Podatek od nieruchomości</t>
  </si>
  <si>
    <t xml:space="preserve">                     Załącznik Nr 3</t>
  </si>
  <si>
    <t xml:space="preserve">                     Załącznik Nr 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</si>
</sst>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\ _z_ł"/>
    <numFmt numFmtId="176" formatCode="#,##0.00\ _z_ł"/>
  </numFmts>
  <fonts count="3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164" fontId="8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5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19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22" fillId="0" borderId="0" xfId="0" applyFont="1" applyAlignment="1">
      <alignment/>
    </xf>
    <xf numFmtId="0" fontId="12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19" xfId="0" applyFont="1" applyFill="1" applyBorder="1" applyAlignment="1">
      <alignment/>
    </xf>
    <xf numFmtId="164" fontId="8" fillId="0" borderId="0" xfId="0" applyNumberFormat="1" applyFont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5" fillId="0" borderId="11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5" fillId="0" borderId="31" xfId="18" applyNumberFormat="1" applyFont="1" applyFill="1" applyBorder="1" applyAlignment="1">
      <alignment horizontal="right" wrapText="1"/>
      <protection/>
    </xf>
    <xf numFmtId="3" fontId="27" fillId="0" borderId="19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10" fontId="5" fillId="0" borderId="19" xfId="2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5" fillId="0" borderId="19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4" fontId="6" fillId="2" borderId="45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28" fillId="0" borderId="47" xfId="0" applyNumberFormat="1" applyFont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 wrapText="1"/>
    </xf>
    <xf numFmtId="4" fontId="19" fillId="0" borderId="25" xfId="0" applyNumberFormat="1" applyFont="1" applyBorder="1" applyAlignment="1">
      <alignment horizontal="right" vertical="center" wrapText="1"/>
    </xf>
    <xf numFmtId="4" fontId="19" fillId="0" borderId="48" xfId="0" applyNumberFormat="1" applyFont="1" applyBorder="1" applyAlignment="1">
      <alignment horizontal="right" vertical="center" wrapText="1"/>
    </xf>
    <xf numFmtId="4" fontId="28" fillId="0" borderId="30" xfId="0" applyNumberFormat="1" applyFont="1" applyBorder="1" applyAlignment="1">
      <alignment horizontal="center" vertical="center" wrapText="1"/>
    </xf>
    <xf numFmtId="4" fontId="19" fillId="0" borderId="30" xfId="0" applyNumberFormat="1" applyFont="1" applyBorder="1" applyAlignment="1">
      <alignment horizontal="right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horizontal="right" vertical="center"/>
    </xf>
    <xf numFmtId="4" fontId="7" fillId="0" borderId="50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2" borderId="16" xfId="0" applyFont="1" applyFill="1" applyBorder="1" applyAlignment="1">
      <alignment horizontal="center"/>
    </xf>
    <xf numFmtId="10" fontId="5" fillId="0" borderId="19" xfId="2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3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7" fillId="0" borderId="19" xfId="0" applyNumberFormat="1" applyFont="1" applyFill="1" applyBorder="1" applyAlignment="1">
      <alignment horizontal="right"/>
    </xf>
    <xf numFmtId="4" fontId="22" fillId="0" borderId="19" xfId="0" applyNumberFormat="1" applyFont="1" applyFill="1" applyBorder="1" applyAlignment="1">
      <alignment/>
    </xf>
    <xf numFmtId="4" fontId="27" fillId="0" borderId="19" xfId="0" applyNumberFormat="1" applyFont="1" applyFill="1" applyBorder="1" applyAlignment="1">
      <alignment/>
    </xf>
    <xf numFmtId="10" fontId="27" fillId="0" borderId="19" xfId="20" applyNumberFormat="1" applyFont="1" applyFill="1" applyBorder="1" applyAlignment="1">
      <alignment horizontal="center"/>
    </xf>
    <xf numFmtId="10" fontId="27" fillId="0" borderId="19" xfId="20" applyNumberFormat="1" applyFont="1" applyFill="1" applyBorder="1" applyAlignment="1">
      <alignment vertical="center"/>
    </xf>
    <xf numFmtId="10" fontId="27" fillId="0" borderId="19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left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49" fontId="5" fillId="2" borderId="3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/>
    </xf>
    <xf numFmtId="0" fontId="12" fillId="0" borderId="4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 wrapText="1"/>
    </xf>
    <xf numFmtId="4" fontId="5" fillId="0" borderId="47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48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8" fillId="0" borderId="19" xfId="0" applyFont="1" applyBorder="1" applyAlignment="1" quotePrefix="1">
      <alignment horizontal="left" vertical="center" indent="1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1" xfId="0" applyFont="1" applyBorder="1" applyAlignment="1" quotePrefix="1">
      <alignment horizontal="left" vertical="center" indent="1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left" vertical="center" indent="1"/>
    </xf>
    <xf numFmtId="176" fontId="1" fillId="0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left" vertical="center" indent="1"/>
    </xf>
    <xf numFmtId="164" fontId="1" fillId="0" borderId="2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3" fontId="1" fillId="0" borderId="28" xfId="0" applyNumberFormat="1" applyFont="1" applyFill="1" applyBorder="1" applyAlignment="1">
      <alignment vertical="center" wrapText="1"/>
    </xf>
    <xf numFmtId="3" fontId="1" fillId="0" borderId="48" xfId="0" applyNumberFormat="1" applyFont="1" applyFill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2" borderId="6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Arkusz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" name="Line 1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" name="Line 2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5" name="Line 2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4" name="Line 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" name="Line 4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2" name="Line 4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3" name="Line 4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" name="Line 4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6" name="Line 4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7" name="Line 4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8" name="Line 4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9" name="Line 4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0" name="Line 5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" name="Line 5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" name="Line 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3" name="Line 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4" name="Line 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5" name="Line 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" name="Line 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" name="Line 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" name="Line 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" name="Line 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0" name="Line 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1" name="Line 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" name="Line 6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" name="Line 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0" name="Line 7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1" name="Line 7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2" name="Line 7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" name="Line 7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4" name="Line 7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5" name="Line 7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6" name="Line 7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7" name="Line 7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8" name="Line 7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9" name="Line 7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2" name="Line 8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83" name="Line 8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84" name="Line 84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85" name="Line 85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6" name="Line 8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" name="Line 8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8" name="Line 8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9" name="Line 8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0" name="Line 9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1" name="Line 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2" name="Line 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3" name="Line 9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4" name="Line 9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" name="Line 9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" name="Line 9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" name="Line 9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8" name="Line 9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9" name="Line 9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29075" y="3025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142875</xdr:rowOff>
    </xdr:from>
    <xdr:to>
      <xdr:col>4</xdr:col>
      <xdr:colOff>0</xdr:colOff>
      <xdr:row>103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290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4" name="Line 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5" name="Line 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6" name="Line 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27" name="Line 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142875</xdr:rowOff>
    </xdr:from>
    <xdr:to>
      <xdr:col>4</xdr:col>
      <xdr:colOff>0</xdr:colOff>
      <xdr:row>103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290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142875</xdr:rowOff>
    </xdr:from>
    <xdr:to>
      <xdr:col>4</xdr:col>
      <xdr:colOff>0</xdr:colOff>
      <xdr:row>103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290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142875</xdr:rowOff>
    </xdr:from>
    <xdr:to>
      <xdr:col>4</xdr:col>
      <xdr:colOff>0</xdr:colOff>
      <xdr:row>103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290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130</xdr:row>
      <xdr:rowOff>0</xdr:rowOff>
    </xdr:from>
    <xdr:to>
      <xdr:col>1</xdr:col>
      <xdr:colOff>457200</xdr:colOff>
      <xdr:row>130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130</xdr:row>
      <xdr:rowOff>0</xdr:rowOff>
    </xdr:from>
    <xdr:to>
      <xdr:col>1</xdr:col>
      <xdr:colOff>466725</xdr:colOff>
      <xdr:row>130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6937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142875</xdr:rowOff>
    </xdr:from>
    <xdr:to>
      <xdr:col>4</xdr:col>
      <xdr:colOff>0</xdr:colOff>
      <xdr:row>103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290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29075" y="3205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290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40290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2907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290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40290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29075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290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290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2907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29075" y="163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29075" y="171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228600</xdr:rowOff>
    </xdr:from>
    <xdr:to>
      <xdr:col>4</xdr:col>
      <xdr:colOff>0</xdr:colOff>
      <xdr:row>70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29075" y="1983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29075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29075" y="202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29075" y="2105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29075" y="30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29075" y="3094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152400</xdr:rowOff>
    </xdr:from>
    <xdr:to>
      <xdr:col>4</xdr:col>
      <xdr:colOff>0</xdr:colOff>
      <xdr:row>109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29075" y="3239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4</xdr:col>
      <xdr:colOff>0</xdr:colOff>
      <xdr:row>127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29075" y="3612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29075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4</xdr:col>
      <xdr:colOff>0</xdr:colOff>
      <xdr:row>104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29075" y="3029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152400</xdr:rowOff>
    </xdr:from>
    <xdr:to>
      <xdr:col>4</xdr:col>
      <xdr:colOff>0</xdr:colOff>
      <xdr:row>100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2907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4</xdr:col>
      <xdr:colOff>0</xdr:colOff>
      <xdr:row>101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29075" y="2917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676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workbookViewId="0" topLeftCell="A1">
      <selection activeCell="D18" sqref="D18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ht="19.5" customHeight="1">
      <c r="A1" s="497" t="s">
        <v>37</v>
      </c>
      <c r="B1" s="497"/>
      <c r="C1" s="497"/>
      <c r="D1" s="497"/>
      <c r="E1" s="497"/>
      <c r="F1" s="497"/>
    </row>
    <row r="2" spans="1:6" ht="15" customHeight="1">
      <c r="A2" s="497"/>
      <c r="B2" s="497"/>
      <c r="C2" s="497"/>
      <c r="D2" s="497"/>
      <c r="E2" s="497"/>
      <c r="F2" s="497"/>
    </row>
    <row r="3" ht="13.5" thickBot="1">
      <c r="F3" s="4" t="s">
        <v>158</v>
      </c>
    </row>
    <row r="4" spans="1:6" ht="15.75" thickBot="1">
      <c r="A4" s="85" t="s">
        <v>103</v>
      </c>
      <c r="B4" s="85" t="s">
        <v>100</v>
      </c>
      <c r="C4" s="85" t="s">
        <v>117</v>
      </c>
      <c r="D4" s="222" t="s">
        <v>117</v>
      </c>
      <c r="E4" s="495" t="s">
        <v>101</v>
      </c>
      <c r="F4" s="496"/>
    </row>
    <row r="5" spans="1:6" ht="30.75" thickBot="1">
      <c r="A5" s="86"/>
      <c r="B5" s="86"/>
      <c r="C5" s="87" t="s">
        <v>118</v>
      </c>
      <c r="D5" s="224" t="s">
        <v>51</v>
      </c>
      <c r="E5" s="88" t="s">
        <v>326</v>
      </c>
      <c r="F5" s="88" t="s">
        <v>36</v>
      </c>
    </row>
    <row r="6" spans="1:6" ht="9" customHeight="1" thickBot="1">
      <c r="A6" s="2">
        <v>1</v>
      </c>
      <c r="B6" s="2">
        <v>2</v>
      </c>
      <c r="C6" s="2">
        <v>3</v>
      </c>
      <c r="D6" s="2"/>
      <c r="E6" s="2">
        <v>3</v>
      </c>
      <c r="F6" s="2">
        <v>4</v>
      </c>
    </row>
    <row r="7" spans="1:6" ht="19.5" customHeight="1">
      <c r="A7" s="238" t="s">
        <v>105</v>
      </c>
      <c r="B7" s="12" t="s">
        <v>119</v>
      </c>
      <c r="C7" s="11"/>
      <c r="D7" s="11"/>
      <c r="E7" s="300">
        <v>55580665</v>
      </c>
      <c r="F7" s="300">
        <v>58204780</v>
      </c>
    </row>
    <row r="8" spans="1:6" ht="19.5" customHeight="1">
      <c r="A8" s="13" t="s">
        <v>109</v>
      </c>
      <c r="B8" s="14" t="s">
        <v>120</v>
      </c>
      <c r="C8" s="13"/>
      <c r="D8" s="13"/>
      <c r="E8" s="301">
        <v>63133833</v>
      </c>
      <c r="F8" s="301">
        <v>63297734</v>
      </c>
    </row>
    <row r="9" spans="1:6" ht="19.5" customHeight="1" hidden="1">
      <c r="A9" s="19"/>
      <c r="B9" s="20"/>
      <c r="C9" s="13"/>
      <c r="D9" s="13"/>
      <c r="E9" s="301"/>
      <c r="F9" s="301"/>
    </row>
    <row r="10" spans="1:6" ht="19.5" customHeight="1">
      <c r="A10" s="13"/>
      <c r="B10" s="14" t="s">
        <v>148</v>
      </c>
      <c r="C10" s="13"/>
      <c r="D10" s="13"/>
      <c r="E10" s="301">
        <f>E7-E8</f>
        <v>-7553168</v>
      </c>
      <c r="F10" s="301">
        <f>F7-F8</f>
        <v>-5092954</v>
      </c>
    </row>
    <row r="11" spans="1:6" ht="0.75" customHeight="1" thickBot="1">
      <c r="A11" s="11"/>
      <c r="B11" s="12"/>
      <c r="C11" s="11"/>
      <c r="D11" s="11"/>
      <c r="E11" s="300"/>
      <c r="F11" s="300"/>
    </row>
    <row r="12" spans="1:6" ht="19.5" customHeight="1" thickBot="1">
      <c r="A12" s="22"/>
      <c r="B12" s="23" t="s">
        <v>156</v>
      </c>
      <c r="C12" s="22"/>
      <c r="D12" s="22"/>
      <c r="E12" s="302">
        <f>E13-E23</f>
        <v>7553168</v>
      </c>
      <c r="F12" s="302">
        <f>F13-F23</f>
        <v>5092954</v>
      </c>
    </row>
    <row r="13" spans="1:6" ht="19.5" customHeight="1" thickBot="1">
      <c r="A13" s="15" t="s">
        <v>110</v>
      </c>
      <c r="B13" s="16" t="s">
        <v>134</v>
      </c>
      <c r="C13" s="15"/>
      <c r="D13" s="15"/>
      <c r="E13" s="303">
        <f>SUM(E14:E22)</f>
        <v>11286381</v>
      </c>
      <c r="F13" s="310">
        <f>SUM(F14:F22)</f>
        <v>8342554</v>
      </c>
    </row>
    <row r="14" spans="1:6" ht="19.5" customHeight="1">
      <c r="A14" s="230" t="s">
        <v>106</v>
      </c>
      <c r="B14" s="225" t="s">
        <v>52</v>
      </c>
      <c r="C14" s="231" t="s">
        <v>144</v>
      </c>
      <c r="D14" s="235" t="s">
        <v>144</v>
      </c>
      <c r="E14" s="304">
        <v>9904000</v>
      </c>
      <c r="F14" s="311">
        <f>-F10+F23-F22</f>
        <v>7013341</v>
      </c>
    </row>
    <row r="15" spans="1:6" ht="19.5" customHeight="1">
      <c r="A15" s="18" t="s">
        <v>107</v>
      </c>
      <c r="B15" s="226" t="s">
        <v>149</v>
      </c>
      <c r="C15" s="232" t="s">
        <v>144</v>
      </c>
      <c r="D15" s="236" t="s">
        <v>144</v>
      </c>
      <c r="E15" s="305">
        <v>0</v>
      </c>
      <c r="F15" s="312">
        <v>0</v>
      </c>
    </row>
    <row r="16" spans="1:6" ht="45">
      <c r="A16" s="13" t="s">
        <v>108</v>
      </c>
      <c r="B16" s="227" t="s">
        <v>53</v>
      </c>
      <c r="C16" s="233"/>
      <c r="D16" s="237" t="s">
        <v>54</v>
      </c>
      <c r="E16" s="305">
        <v>0</v>
      </c>
      <c r="F16" s="312">
        <v>0</v>
      </c>
    </row>
    <row r="17" spans="1:6" ht="19.5" customHeight="1">
      <c r="A17" s="13" t="s">
        <v>97</v>
      </c>
      <c r="B17" s="228" t="s">
        <v>135</v>
      </c>
      <c r="C17" s="233" t="s">
        <v>145</v>
      </c>
      <c r="D17" s="237" t="s">
        <v>55</v>
      </c>
      <c r="E17" s="305">
        <v>0</v>
      </c>
      <c r="F17" s="312">
        <v>0</v>
      </c>
    </row>
    <row r="18" spans="1:6" ht="19.5" customHeight="1">
      <c r="A18" s="13" t="s">
        <v>112</v>
      </c>
      <c r="B18" s="228" t="s">
        <v>136</v>
      </c>
      <c r="C18" s="233" t="s">
        <v>146</v>
      </c>
      <c r="D18" s="237" t="s">
        <v>56</v>
      </c>
      <c r="E18" s="305">
        <v>0</v>
      </c>
      <c r="F18" s="312">
        <v>0</v>
      </c>
    </row>
    <row r="19" spans="1:6" ht="21.75" customHeight="1">
      <c r="A19" s="13" t="s">
        <v>116</v>
      </c>
      <c r="B19" s="228" t="s">
        <v>121</v>
      </c>
      <c r="C19" s="233" t="s">
        <v>147</v>
      </c>
      <c r="D19" s="237" t="s">
        <v>147</v>
      </c>
      <c r="E19" s="305">
        <v>1315684</v>
      </c>
      <c r="F19" s="312">
        <v>0</v>
      </c>
    </row>
    <row r="20" spans="1:6" ht="19.5" customHeight="1">
      <c r="A20" s="13" t="s">
        <v>124</v>
      </c>
      <c r="B20" s="228" t="s">
        <v>57</v>
      </c>
      <c r="C20" s="233"/>
      <c r="D20" s="237" t="s">
        <v>58</v>
      </c>
      <c r="E20" s="305">
        <v>0</v>
      </c>
      <c r="F20" s="312">
        <v>0</v>
      </c>
    </row>
    <row r="21" spans="1:6" ht="19.5" customHeight="1">
      <c r="A21" s="231" t="s">
        <v>133</v>
      </c>
      <c r="B21" s="389" t="s">
        <v>59</v>
      </c>
      <c r="C21" s="390"/>
      <c r="D21" s="391" t="s">
        <v>60</v>
      </c>
      <c r="E21" s="392">
        <v>0</v>
      </c>
      <c r="F21" s="393">
        <v>0</v>
      </c>
    </row>
    <row r="22" spans="1:6" ht="19.5" customHeight="1" thickBot="1">
      <c r="A22" s="17" t="s">
        <v>190</v>
      </c>
      <c r="B22" s="24" t="s">
        <v>61</v>
      </c>
      <c r="C22" s="234" t="s">
        <v>145</v>
      </c>
      <c r="D22" s="236" t="s">
        <v>145</v>
      </c>
      <c r="E22" s="306">
        <v>66697</v>
      </c>
      <c r="F22" s="313">
        <v>1329213</v>
      </c>
    </row>
    <row r="23" spans="1:6" ht="19.5" customHeight="1" thickBot="1">
      <c r="A23" s="15" t="s">
        <v>127</v>
      </c>
      <c r="B23" s="229" t="s">
        <v>137</v>
      </c>
      <c r="C23" s="21"/>
      <c r="D23" s="15"/>
      <c r="E23" s="303">
        <f>SUM(E24:E31)</f>
        <v>3733213</v>
      </c>
      <c r="F23" s="310">
        <f>SUM(F24:F31)</f>
        <v>3249600</v>
      </c>
    </row>
    <row r="24" spans="1:6" ht="19.5" customHeight="1">
      <c r="A24" s="230" t="s">
        <v>106</v>
      </c>
      <c r="B24" s="242" t="s">
        <v>123</v>
      </c>
      <c r="C24" s="244" t="s">
        <v>139</v>
      </c>
      <c r="D24" s="239" t="s">
        <v>139</v>
      </c>
      <c r="E24" s="307">
        <v>404000</v>
      </c>
      <c r="F24" s="314">
        <f>1723600+300000+200000</f>
        <v>2223600</v>
      </c>
    </row>
    <row r="25" spans="1:6" ht="19.5" customHeight="1">
      <c r="A25" s="13" t="s">
        <v>107</v>
      </c>
      <c r="B25" s="14" t="s">
        <v>143</v>
      </c>
      <c r="C25" s="245"/>
      <c r="D25" s="237" t="s">
        <v>139</v>
      </c>
      <c r="E25" s="308"/>
      <c r="F25" s="315"/>
    </row>
    <row r="26" spans="1:6" ht="45">
      <c r="A26" s="13" t="s">
        <v>108</v>
      </c>
      <c r="B26" s="223" t="s">
        <v>63</v>
      </c>
      <c r="C26" s="245"/>
      <c r="D26" s="237" t="s">
        <v>64</v>
      </c>
      <c r="E26" s="308"/>
      <c r="F26" s="315"/>
    </row>
    <row r="27" spans="1:6" ht="19.5" customHeight="1">
      <c r="A27" s="13" t="s">
        <v>97</v>
      </c>
      <c r="B27" s="14" t="s">
        <v>65</v>
      </c>
      <c r="C27" s="245" t="s">
        <v>162</v>
      </c>
      <c r="D27" s="237" t="s">
        <v>162</v>
      </c>
      <c r="E27" s="308">
        <v>0</v>
      </c>
      <c r="F27" s="315">
        <v>26000</v>
      </c>
    </row>
    <row r="28" spans="1:6" ht="19.5" customHeight="1">
      <c r="A28" s="13" t="s">
        <v>112</v>
      </c>
      <c r="B28" s="14" t="s">
        <v>66</v>
      </c>
      <c r="C28" s="245" t="s">
        <v>141</v>
      </c>
      <c r="D28" s="237" t="s">
        <v>141</v>
      </c>
      <c r="E28" s="308">
        <v>1329213</v>
      </c>
      <c r="F28" s="315">
        <v>0</v>
      </c>
    </row>
    <row r="29" spans="1:6" ht="17.25" customHeight="1">
      <c r="A29" s="13" t="s">
        <v>116</v>
      </c>
      <c r="B29" s="14" t="s">
        <v>122</v>
      </c>
      <c r="C29" s="245" t="s">
        <v>142</v>
      </c>
      <c r="D29" s="237" t="s">
        <v>142</v>
      </c>
      <c r="E29" s="308">
        <v>2000000</v>
      </c>
      <c r="F29" s="315">
        <v>1000000</v>
      </c>
    </row>
    <row r="30" spans="1:6" ht="17.25" customHeight="1">
      <c r="A30" s="13" t="s">
        <v>124</v>
      </c>
      <c r="B30" s="14" t="s">
        <v>88</v>
      </c>
      <c r="C30" s="245"/>
      <c r="D30" s="237" t="s">
        <v>67</v>
      </c>
      <c r="E30" s="308"/>
      <c r="F30" s="315"/>
    </row>
    <row r="31" spans="1:6" ht="17.25" customHeight="1" thickBot="1">
      <c r="A31" s="241" t="s">
        <v>133</v>
      </c>
      <c r="B31" s="243" t="s">
        <v>138</v>
      </c>
      <c r="C31" s="245" t="s">
        <v>140</v>
      </c>
      <c r="D31" s="240" t="s">
        <v>62</v>
      </c>
      <c r="E31" s="309">
        <v>0</v>
      </c>
      <c r="F31" s="309">
        <v>0</v>
      </c>
    </row>
    <row r="32" spans="1:6" ht="19.5" customHeight="1">
      <c r="A32" s="6"/>
      <c r="B32" s="7"/>
      <c r="C32" s="7"/>
      <c r="D32" s="7"/>
      <c r="E32" s="76"/>
      <c r="F32" s="76"/>
    </row>
    <row r="33" spans="1:6" ht="30" hidden="1">
      <c r="A33" s="32" t="s">
        <v>150</v>
      </c>
      <c r="B33" s="35" t="s">
        <v>163</v>
      </c>
      <c r="C33" s="33"/>
      <c r="D33" s="33"/>
      <c r="E33" s="79">
        <f>E23</f>
        <v>3733213</v>
      </c>
      <c r="F33" s="82">
        <f>F23</f>
        <v>3249600</v>
      </c>
    </row>
    <row r="34" spans="1:6" ht="30" hidden="1">
      <c r="A34" s="25" t="s">
        <v>151</v>
      </c>
      <c r="B34" s="34" t="s">
        <v>157</v>
      </c>
      <c r="C34" s="29"/>
      <c r="D34" s="29"/>
      <c r="E34" s="80">
        <f>E7-E33</f>
        <v>51847452</v>
      </c>
      <c r="F34" s="83">
        <f>F7-F33</f>
        <v>54955180</v>
      </c>
    </row>
    <row r="35" spans="1:6" ht="30" hidden="1">
      <c r="A35" s="25" t="s">
        <v>152</v>
      </c>
      <c r="B35" s="34" t="s">
        <v>153</v>
      </c>
      <c r="C35" s="29"/>
      <c r="D35" s="29"/>
      <c r="E35" s="80">
        <f>E8-E34</f>
        <v>11286381</v>
      </c>
      <c r="F35" s="83">
        <f>F8-F34</f>
        <v>8342554</v>
      </c>
    </row>
    <row r="36" spans="1:6" ht="45.75" hidden="1" thickBot="1">
      <c r="A36" s="26" t="s">
        <v>154</v>
      </c>
      <c r="B36" s="30" t="s">
        <v>155</v>
      </c>
      <c r="C36" s="31"/>
      <c r="D36" s="31"/>
      <c r="E36" s="81">
        <f>SUM(E13)</f>
        <v>11286381</v>
      </c>
      <c r="F36" s="84">
        <f>SUM(F13)</f>
        <v>8342554</v>
      </c>
    </row>
    <row r="37" spans="1:6" ht="12.75">
      <c r="A37" s="5"/>
      <c r="E37" s="77"/>
      <c r="F37" s="77"/>
    </row>
    <row r="38" spans="1:6" ht="12.75">
      <c r="A38" s="5"/>
      <c r="E38" s="77"/>
      <c r="F38" s="77"/>
    </row>
    <row r="39" spans="5:6" s="28" customFormat="1" ht="15">
      <c r="E39" s="78"/>
      <c r="F39" s="78"/>
    </row>
    <row r="40" spans="1:6" ht="12.75">
      <c r="A40" s="5"/>
      <c r="E40" s="77"/>
      <c r="F40" s="77"/>
    </row>
    <row r="41" spans="1:6" ht="12.75">
      <c r="A41" s="5"/>
      <c r="E41" s="77"/>
      <c r="F41" s="77"/>
    </row>
    <row r="42" spans="1:6" ht="12.75">
      <c r="A42" s="5"/>
      <c r="E42" s="77"/>
      <c r="F42" s="77"/>
    </row>
    <row r="43" spans="1:6" ht="12.75">
      <c r="A43" s="5"/>
      <c r="E43" s="77"/>
      <c r="F43" s="77"/>
    </row>
    <row r="44" spans="1:6" ht="12.75">
      <c r="A44" s="5"/>
      <c r="E44" s="77"/>
      <c r="F44" s="77"/>
    </row>
    <row r="45" spans="1:6" ht="12.75">
      <c r="A45" s="5"/>
      <c r="E45" s="77"/>
      <c r="F45" s="77"/>
    </row>
    <row r="46" spans="1:6" ht="12.75">
      <c r="A46" s="5"/>
      <c r="E46" s="77"/>
      <c r="F46" s="77"/>
    </row>
    <row r="47" spans="1:6" ht="12.75">
      <c r="A47" s="5"/>
      <c r="E47" s="77"/>
      <c r="F47" s="77"/>
    </row>
    <row r="48" spans="5:6" ht="12.75">
      <c r="E48" s="77"/>
      <c r="F48" s="77"/>
    </row>
    <row r="49" spans="5:6" ht="12.75">
      <c r="E49" s="77"/>
      <c r="F49" s="77"/>
    </row>
    <row r="50" spans="5:6" ht="12.75">
      <c r="E50" s="77"/>
      <c r="F50" s="77"/>
    </row>
    <row r="51" spans="5:6" ht="12.75">
      <c r="E51" s="77"/>
      <c r="F51" s="77"/>
    </row>
    <row r="52" spans="5:6" ht="12.75">
      <c r="E52" s="77"/>
      <c r="F52" s="77"/>
    </row>
    <row r="53" spans="5:6" ht="12.75">
      <c r="E53" s="77"/>
      <c r="F53" s="77"/>
    </row>
    <row r="54" spans="5:6" ht="12.75">
      <c r="E54" s="77"/>
      <c r="F54" s="77"/>
    </row>
    <row r="55" spans="5:6" ht="12.75">
      <c r="E55" s="77"/>
      <c r="F55" s="77"/>
    </row>
    <row r="56" spans="5:6" ht="12.75">
      <c r="E56" s="77"/>
      <c r="F56" s="77"/>
    </row>
    <row r="57" spans="5:6" ht="12.75">
      <c r="E57" s="77"/>
      <c r="F57" s="77"/>
    </row>
    <row r="58" spans="5:6" ht="12.75">
      <c r="E58" s="77"/>
      <c r="F58" s="77"/>
    </row>
    <row r="59" spans="5:6" ht="12.75">
      <c r="E59" s="77"/>
      <c r="F59" s="77"/>
    </row>
    <row r="60" spans="5:6" ht="12.75">
      <c r="E60" s="77"/>
      <c r="F60" s="77"/>
    </row>
    <row r="61" spans="5:6" ht="12.75">
      <c r="E61" s="77"/>
      <c r="F61" s="77"/>
    </row>
    <row r="62" spans="5:6" ht="12.75">
      <c r="E62" s="77"/>
      <c r="F62" s="77"/>
    </row>
    <row r="63" spans="5:6" ht="12.75">
      <c r="E63" s="77"/>
      <c r="F63" s="77"/>
    </row>
    <row r="64" spans="5:6" ht="12.75">
      <c r="E64" s="77"/>
      <c r="F64" s="77"/>
    </row>
    <row r="65" spans="5:6" ht="12.75">
      <c r="E65" s="77"/>
      <c r="F65" s="77"/>
    </row>
    <row r="66" spans="5:6" ht="12.75">
      <c r="E66" s="77"/>
      <c r="F66" s="77"/>
    </row>
    <row r="67" spans="5:6" ht="12.75">
      <c r="E67" s="77"/>
      <c r="F67" s="77"/>
    </row>
    <row r="68" spans="5:6" ht="12.75">
      <c r="E68" s="77"/>
      <c r="F68" s="77"/>
    </row>
    <row r="69" spans="5:6" ht="12.75">
      <c r="E69" s="77"/>
      <c r="F69" s="77"/>
    </row>
    <row r="70" spans="5:6" ht="12.75">
      <c r="E70" s="77"/>
      <c r="F70" s="77"/>
    </row>
    <row r="71" spans="5:6" ht="12.75">
      <c r="E71" s="77"/>
      <c r="F71" s="77"/>
    </row>
    <row r="72" spans="5:6" ht="12.75">
      <c r="E72" s="77"/>
      <c r="F72" s="77"/>
    </row>
    <row r="73" spans="5:6" ht="12.75">
      <c r="E73" s="77"/>
      <c r="F73" s="77"/>
    </row>
    <row r="74" spans="5:6" ht="12.75">
      <c r="E74" s="77"/>
      <c r="F74" s="77"/>
    </row>
    <row r="75" spans="5:6" ht="12.75">
      <c r="E75" s="77"/>
      <c r="F75" s="77"/>
    </row>
    <row r="76" spans="5:6" ht="12.75">
      <c r="E76" s="77"/>
      <c r="F76" s="77"/>
    </row>
    <row r="77" spans="5:6" ht="12.75">
      <c r="E77" s="77"/>
      <c r="F77" s="77"/>
    </row>
    <row r="78" spans="5:6" ht="12.75">
      <c r="E78" s="77"/>
      <c r="F78" s="77"/>
    </row>
    <row r="79" spans="5:6" ht="12.75">
      <c r="E79" s="77"/>
      <c r="F79" s="77"/>
    </row>
    <row r="80" spans="5:6" ht="12.75">
      <c r="E80" s="77"/>
      <c r="F80" s="77"/>
    </row>
    <row r="81" spans="5:6" ht="12.75">
      <c r="E81" s="77"/>
      <c r="F81" s="77"/>
    </row>
    <row r="82" spans="5:6" ht="12.75">
      <c r="E82" s="77"/>
      <c r="F82" s="77"/>
    </row>
  </sheetData>
  <mergeCells count="2">
    <mergeCell ref="E4:F4"/>
    <mergeCell ref="A1:F2"/>
  </mergeCells>
  <printOptions horizontalCentered="1" verticalCentered="1"/>
  <pageMargins left="0.68" right="0.27" top="0.48" bottom="0.5905511811023623" header="0.59" footer="0.5118110236220472"/>
  <pageSetup horizontalDpi="600" verticalDpi="600" orientation="portrait" paperSize="9" r:id="rId1"/>
  <headerFooter alignWithMargins="0">
    <oddHeader>&amp;RZałącznik nr 2
do uchwały Rady Powiatu Nr  IX/      /07
z dnia  29 czerwca 2007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5"/>
  <dimension ref="A1:AD51"/>
  <sheetViews>
    <sheetView tabSelected="1" workbookViewId="0" topLeftCell="A7">
      <pane ySplit="1260" topLeftCell="BM1" activePane="bottomLeft" state="split"/>
      <selection pane="topLeft" activeCell="M41" sqref="M41"/>
      <selection pane="bottomLeft" activeCell="D11" sqref="D11"/>
    </sheetView>
  </sheetViews>
  <sheetFormatPr defaultColWidth="9.00390625" defaultRowHeight="12.75"/>
  <cols>
    <col min="1" max="1" width="4.375" style="99" customWidth="1"/>
    <col min="2" max="2" width="40.875" style="99" customWidth="1"/>
    <col min="3" max="3" width="13.25390625" style="99" customWidth="1"/>
    <col min="4" max="6" width="13.125" style="320" customWidth="1"/>
    <col min="7" max="7" width="15.125" style="320" customWidth="1"/>
    <col min="8" max="8" width="13.00390625" style="320" customWidth="1"/>
    <col min="9" max="9" width="14.625" style="320" customWidth="1"/>
    <col min="10" max="12" width="13.125" style="320" customWidth="1"/>
    <col min="13" max="13" width="14.625" style="320" customWidth="1"/>
    <col min="14" max="14" width="13.00390625" style="320" customWidth="1"/>
    <col min="15" max="16384" width="9.125" style="99" customWidth="1"/>
  </cols>
  <sheetData>
    <row r="1" spans="4:30" ht="14.25">
      <c r="D1" s="161"/>
      <c r="E1" s="161"/>
      <c r="F1" s="104" t="s">
        <v>427</v>
      </c>
      <c r="H1" s="161"/>
      <c r="I1" s="161"/>
      <c r="J1" s="104" t="s">
        <v>427</v>
      </c>
      <c r="K1" s="324"/>
      <c r="L1" s="324"/>
      <c r="M1" s="324"/>
      <c r="N1" s="104" t="s">
        <v>427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4:30" ht="14.25">
      <c r="D2" s="162"/>
      <c r="E2" s="162"/>
      <c r="F2" s="103" t="s">
        <v>414</v>
      </c>
      <c r="H2" s="162"/>
      <c r="I2" s="162"/>
      <c r="J2" s="103" t="s">
        <v>414</v>
      </c>
      <c r="K2" s="325"/>
      <c r="L2" s="325"/>
      <c r="M2" s="325"/>
      <c r="N2" s="103" t="s">
        <v>414</v>
      </c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4:30" ht="14.25">
      <c r="D3" s="162"/>
      <c r="E3" s="162"/>
      <c r="F3" s="103" t="s">
        <v>422</v>
      </c>
      <c r="H3" s="162"/>
      <c r="I3" s="162"/>
      <c r="J3" s="103" t="s">
        <v>422</v>
      </c>
      <c r="K3" s="325"/>
      <c r="L3" s="325"/>
      <c r="M3" s="325"/>
      <c r="N3" s="103" t="s">
        <v>422</v>
      </c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4:12" ht="11.25" customHeight="1">
      <c r="D4" s="141"/>
      <c r="E4" s="141"/>
      <c r="F4" s="141"/>
      <c r="H4" s="99"/>
      <c r="I4" s="99"/>
      <c r="J4" s="141"/>
      <c r="K4" s="326"/>
      <c r="L4" s="326"/>
    </row>
    <row r="5" spans="4:10" ht="10.5" customHeight="1">
      <c r="D5" s="99"/>
      <c r="E5" s="60"/>
      <c r="F5" s="99"/>
      <c r="H5" s="99"/>
      <c r="I5" s="99"/>
      <c r="J5" s="99"/>
    </row>
    <row r="6" spans="6:14" ht="15" customHeight="1">
      <c r="F6" s="186" t="s">
        <v>71</v>
      </c>
      <c r="H6" s="99"/>
      <c r="I6" s="99"/>
      <c r="J6" s="186" t="s">
        <v>71</v>
      </c>
      <c r="N6" s="186" t="s">
        <v>71</v>
      </c>
    </row>
    <row r="7" spans="1:14" ht="12.75">
      <c r="A7" s="163" t="s">
        <v>164</v>
      </c>
      <c r="B7" s="163" t="s">
        <v>100</v>
      </c>
      <c r="C7" s="573" t="s">
        <v>330</v>
      </c>
      <c r="D7" s="321" t="s">
        <v>72</v>
      </c>
      <c r="E7" s="327"/>
      <c r="F7" s="328"/>
      <c r="G7" s="568" t="s">
        <v>73</v>
      </c>
      <c r="H7" s="569"/>
      <c r="I7" s="569"/>
      <c r="J7" s="570"/>
      <c r="K7" s="568" t="s">
        <v>73</v>
      </c>
      <c r="L7" s="569"/>
      <c r="M7" s="569"/>
      <c r="N7" s="570"/>
    </row>
    <row r="8" spans="1:14" ht="12.75">
      <c r="A8" s="164"/>
      <c r="B8" s="164"/>
      <c r="C8" s="574"/>
      <c r="D8" s="166">
        <v>2007</v>
      </c>
      <c r="E8" s="207">
        <v>2008</v>
      </c>
      <c r="F8" s="207">
        <v>2009</v>
      </c>
      <c r="G8" s="208">
        <v>2010</v>
      </c>
      <c r="H8" s="207">
        <v>2011</v>
      </c>
      <c r="I8" s="207">
        <v>2012</v>
      </c>
      <c r="J8" s="207">
        <v>2013</v>
      </c>
      <c r="K8" s="207">
        <v>2014</v>
      </c>
      <c r="L8" s="207">
        <v>2015</v>
      </c>
      <c r="M8" s="207">
        <v>2016</v>
      </c>
      <c r="N8" s="163"/>
    </row>
    <row r="9" spans="1:14" ht="12.75">
      <c r="A9" s="167"/>
      <c r="B9" s="167"/>
      <c r="C9" s="167">
        <v>2006</v>
      </c>
      <c r="D9" s="168"/>
      <c r="E9" s="209"/>
      <c r="F9" s="209"/>
      <c r="G9" s="210"/>
      <c r="H9" s="209"/>
      <c r="I9" s="209"/>
      <c r="J9" s="209"/>
      <c r="K9" s="209"/>
      <c r="L9" s="209"/>
      <c r="M9" s="209"/>
      <c r="N9" s="167"/>
    </row>
    <row r="10" spans="1:14" ht="12.7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3</v>
      </c>
      <c r="H10" s="68">
        <v>4</v>
      </c>
      <c r="I10" s="68">
        <v>5</v>
      </c>
      <c r="J10" s="68">
        <v>6</v>
      </c>
      <c r="K10" s="68">
        <v>3</v>
      </c>
      <c r="L10" s="68">
        <v>4</v>
      </c>
      <c r="M10" s="68">
        <v>5</v>
      </c>
      <c r="N10" s="68"/>
    </row>
    <row r="11" spans="1:14" s="171" customFormat="1" ht="16.5">
      <c r="A11" s="169" t="s">
        <v>105</v>
      </c>
      <c r="B11" s="170" t="s">
        <v>275</v>
      </c>
      <c r="C11" s="203">
        <f aca="true" t="shared" si="0" ref="C11:L11">SUM(C12,C16,C17,C18,C19)</f>
        <v>55580665</v>
      </c>
      <c r="D11" s="203">
        <f t="shared" si="0"/>
        <v>58204780</v>
      </c>
      <c r="E11" s="203">
        <f t="shared" si="0"/>
        <v>60336224</v>
      </c>
      <c r="F11" s="203">
        <f t="shared" si="0"/>
        <v>61241267</v>
      </c>
      <c r="G11" s="203">
        <f t="shared" si="0"/>
        <v>62159887</v>
      </c>
      <c r="H11" s="203">
        <f t="shared" si="0"/>
        <v>63092285</v>
      </c>
      <c r="I11" s="203">
        <f t="shared" si="0"/>
        <v>64038669</v>
      </c>
      <c r="J11" s="203">
        <f t="shared" si="0"/>
        <v>64999249</v>
      </c>
      <c r="K11" s="203">
        <f t="shared" si="0"/>
        <v>65974237</v>
      </c>
      <c r="L11" s="203">
        <f t="shared" si="0"/>
        <v>66963850</v>
      </c>
      <c r="M11" s="203">
        <f>SUM(M12,M16,M17,M18,M19)</f>
        <v>68468308</v>
      </c>
      <c r="N11" s="178">
        <f>SUM(N12,N16,N17,N18,N19)</f>
        <v>70522357.24000001</v>
      </c>
    </row>
    <row r="12" spans="1:14" s="67" customFormat="1" ht="15">
      <c r="A12" s="172" t="s">
        <v>277</v>
      </c>
      <c r="B12" s="173" t="s">
        <v>74</v>
      </c>
      <c r="C12" s="203">
        <f aca="true" t="shared" si="1" ref="C12:L12">SUM(C13:C15)</f>
        <v>15159402</v>
      </c>
      <c r="D12" s="203">
        <f t="shared" si="1"/>
        <v>16918701</v>
      </c>
      <c r="E12" s="203">
        <f t="shared" si="1"/>
        <v>17113443</v>
      </c>
      <c r="F12" s="203">
        <f t="shared" si="1"/>
        <v>17370144</v>
      </c>
      <c r="G12" s="203">
        <f t="shared" si="1"/>
        <v>17630696</v>
      </c>
      <c r="H12" s="203">
        <f t="shared" si="1"/>
        <v>17895156</v>
      </c>
      <c r="I12" s="203">
        <f t="shared" si="1"/>
        <v>18163583</v>
      </c>
      <c r="J12" s="203">
        <f t="shared" si="1"/>
        <v>18436037</v>
      </c>
      <c r="K12" s="203">
        <f t="shared" si="1"/>
        <v>18712578</v>
      </c>
      <c r="L12" s="203">
        <f t="shared" si="1"/>
        <v>18993267</v>
      </c>
      <c r="M12" s="203">
        <f>SUM(M13:M15)</f>
        <v>19778166</v>
      </c>
      <c r="N12" s="178">
        <f>SUM(N13:N15)</f>
        <v>20371510.980000004</v>
      </c>
    </row>
    <row r="13" spans="1:14" s="67" customFormat="1" ht="25.5" customHeight="1">
      <c r="A13" s="174" t="s">
        <v>106</v>
      </c>
      <c r="B13" s="48" t="s">
        <v>75</v>
      </c>
      <c r="C13" s="204">
        <v>7343208</v>
      </c>
      <c r="D13" s="204">
        <v>8486325</v>
      </c>
      <c r="E13" s="204">
        <f>ROUND(D13*101.5%,0)</f>
        <v>8613620</v>
      </c>
      <c r="F13" s="204">
        <f>ROUND(E13*101.5%,0)</f>
        <v>8742824</v>
      </c>
      <c r="G13" s="204">
        <f aca="true" t="shared" si="2" ref="G13:L13">ROUND(F13*101.5%,0)</f>
        <v>8873966</v>
      </c>
      <c r="H13" s="204">
        <f t="shared" si="2"/>
        <v>9007075</v>
      </c>
      <c r="I13" s="204">
        <f t="shared" si="2"/>
        <v>9142181</v>
      </c>
      <c r="J13" s="204">
        <f t="shared" si="2"/>
        <v>9279314</v>
      </c>
      <c r="K13" s="204">
        <f t="shared" si="2"/>
        <v>9418504</v>
      </c>
      <c r="L13" s="204">
        <f t="shared" si="2"/>
        <v>9559782</v>
      </c>
      <c r="M13" s="204">
        <f>ROUND(L13*101.5%,0)+500000</f>
        <v>10203179</v>
      </c>
      <c r="N13" s="175">
        <f aca="true" t="shared" si="3" ref="N13:N19">M13*103%</f>
        <v>10509274.370000001</v>
      </c>
    </row>
    <row r="14" spans="1:14" s="67" customFormat="1" ht="12.75" customHeight="1">
      <c r="A14" s="174" t="s">
        <v>107</v>
      </c>
      <c r="B14" s="48" t="s">
        <v>76</v>
      </c>
      <c r="C14" s="204">
        <v>837918</v>
      </c>
      <c r="D14" s="204">
        <v>492436</v>
      </c>
      <c r="E14" s="204">
        <f>ROUND(D14*101.5%,0)</f>
        <v>499823</v>
      </c>
      <c r="F14" s="204">
        <f>ROUND(E14*101.5%,0)</f>
        <v>507320</v>
      </c>
      <c r="G14" s="204">
        <f aca="true" t="shared" si="4" ref="G14:L14">ROUND(F14*101.5%,0)</f>
        <v>514930</v>
      </c>
      <c r="H14" s="204">
        <f t="shared" si="4"/>
        <v>522654</v>
      </c>
      <c r="I14" s="204">
        <f t="shared" si="4"/>
        <v>530494</v>
      </c>
      <c r="J14" s="204">
        <f t="shared" si="4"/>
        <v>538451</v>
      </c>
      <c r="K14" s="204">
        <f t="shared" si="4"/>
        <v>546528</v>
      </c>
      <c r="L14" s="204">
        <f t="shared" si="4"/>
        <v>554726</v>
      </c>
      <c r="M14" s="204">
        <f>ROUND(L14*101.5%,0)</f>
        <v>563047</v>
      </c>
      <c r="N14" s="175">
        <f t="shared" si="3"/>
        <v>579938.41</v>
      </c>
    </row>
    <row r="15" spans="1:14" s="67" customFormat="1" ht="12.75" customHeight="1">
      <c r="A15" s="174" t="s">
        <v>108</v>
      </c>
      <c r="B15" s="48" t="s">
        <v>77</v>
      </c>
      <c r="C15" s="204">
        <v>6978276</v>
      </c>
      <c r="D15" s="204">
        <v>7939940</v>
      </c>
      <c r="E15" s="204">
        <v>8000000</v>
      </c>
      <c r="F15" s="204">
        <f>ROUND(E15*101.5%,0)</f>
        <v>8120000</v>
      </c>
      <c r="G15" s="204">
        <f>ROUND(F15*101.5%,0)</f>
        <v>8241800</v>
      </c>
      <c r="H15" s="204">
        <f aca="true" t="shared" si="5" ref="H15:M15">ROUND(G15*101.5%,0)</f>
        <v>8365427</v>
      </c>
      <c r="I15" s="204">
        <f t="shared" si="5"/>
        <v>8490908</v>
      </c>
      <c r="J15" s="204">
        <f t="shared" si="5"/>
        <v>8618272</v>
      </c>
      <c r="K15" s="204">
        <f t="shared" si="5"/>
        <v>8747546</v>
      </c>
      <c r="L15" s="204">
        <f t="shared" si="5"/>
        <v>8878759</v>
      </c>
      <c r="M15" s="204">
        <f t="shared" si="5"/>
        <v>9011940</v>
      </c>
      <c r="N15" s="175">
        <f t="shared" si="3"/>
        <v>9282298.200000001</v>
      </c>
    </row>
    <row r="16" spans="1:14" s="67" customFormat="1" ht="15">
      <c r="A16" s="176" t="s">
        <v>42</v>
      </c>
      <c r="B16" s="177" t="s">
        <v>165</v>
      </c>
      <c r="C16" s="205">
        <v>31501963</v>
      </c>
      <c r="D16" s="211">
        <v>33322937</v>
      </c>
      <c r="E16" s="65">
        <f>ROUND(D16*101.5%,0)</f>
        <v>33822781</v>
      </c>
      <c r="F16" s="65">
        <f aca="true" t="shared" si="6" ref="F16:M16">ROUND(E16*101.5%,0)</f>
        <v>34330123</v>
      </c>
      <c r="G16" s="65">
        <f t="shared" si="6"/>
        <v>34845075</v>
      </c>
      <c r="H16" s="65">
        <f t="shared" si="6"/>
        <v>35367751</v>
      </c>
      <c r="I16" s="65">
        <f t="shared" si="6"/>
        <v>35898267</v>
      </c>
      <c r="J16" s="65">
        <f t="shared" si="6"/>
        <v>36436741</v>
      </c>
      <c r="K16" s="65">
        <f t="shared" si="6"/>
        <v>36983292</v>
      </c>
      <c r="L16" s="65">
        <f t="shared" si="6"/>
        <v>37538041</v>
      </c>
      <c r="M16" s="65">
        <f t="shared" si="6"/>
        <v>38101112</v>
      </c>
      <c r="N16" s="178">
        <f t="shared" si="3"/>
        <v>39244145.36</v>
      </c>
    </row>
    <row r="17" spans="1:14" s="58" customFormat="1" ht="30" customHeight="1">
      <c r="A17" s="101" t="s">
        <v>46</v>
      </c>
      <c r="B17" s="179" t="s">
        <v>78</v>
      </c>
      <c r="C17" s="69">
        <v>4442839</v>
      </c>
      <c r="D17" s="69">
        <v>4685571</v>
      </c>
      <c r="E17" s="65">
        <v>5000000</v>
      </c>
      <c r="F17" s="65">
        <f aca="true" t="shared" si="7" ref="F17:M19">ROUND(E17*101.5%,0)</f>
        <v>5075000</v>
      </c>
      <c r="G17" s="65">
        <f t="shared" si="7"/>
        <v>5151125</v>
      </c>
      <c r="H17" s="65">
        <f t="shared" si="7"/>
        <v>5228392</v>
      </c>
      <c r="I17" s="65">
        <f t="shared" si="7"/>
        <v>5306818</v>
      </c>
      <c r="J17" s="65">
        <f t="shared" si="7"/>
        <v>5386420</v>
      </c>
      <c r="K17" s="65">
        <f t="shared" si="7"/>
        <v>5467216</v>
      </c>
      <c r="L17" s="65">
        <f t="shared" si="7"/>
        <v>5549224</v>
      </c>
      <c r="M17" s="65">
        <f t="shared" si="7"/>
        <v>5632462</v>
      </c>
      <c r="N17" s="206">
        <f t="shared" si="3"/>
        <v>5801435.86</v>
      </c>
    </row>
    <row r="18" spans="1:14" s="58" customFormat="1" ht="15">
      <c r="A18" s="101" t="s">
        <v>47</v>
      </c>
      <c r="B18" s="180" t="s">
        <v>166</v>
      </c>
      <c r="C18" s="65">
        <v>3606903</v>
      </c>
      <c r="D18" s="65">
        <v>2928440</v>
      </c>
      <c r="E18" s="65">
        <v>3500000</v>
      </c>
      <c r="F18" s="65">
        <f t="shared" si="7"/>
        <v>3552500</v>
      </c>
      <c r="G18" s="65">
        <f t="shared" si="7"/>
        <v>3605788</v>
      </c>
      <c r="H18" s="65">
        <f t="shared" si="7"/>
        <v>3659875</v>
      </c>
      <c r="I18" s="65">
        <f t="shared" si="7"/>
        <v>3714773</v>
      </c>
      <c r="J18" s="65">
        <f t="shared" si="7"/>
        <v>3770495</v>
      </c>
      <c r="K18" s="65">
        <f t="shared" si="7"/>
        <v>3827052</v>
      </c>
      <c r="L18" s="65">
        <f t="shared" si="7"/>
        <v>3884458</v>
      </c>
      <c r="M18" s="65">
        <f t="shared" si="7"/>
        <v>3942725</v>
      </c>
      <c r="N18" s="206">
        <f t="shared" si="3"/>
        <v>4061006.75</v>
      </c>
    </row>
    <row r="19" spans="1:14" s="58" customFormat="1" ht="15">
      <c r="A19" s="101" t="s">
        <v>50</v>
      </c>
      <c r="B19" s="180" t="s">
        <v>79</v>
      </c>
      <c r="C19" s="65">
        <v>869558</v>
      </c>
      <c r="D19" s="65">
        <v>349131</v>
      </c>
      <c r="E19" s="65">
        <v>900000</v>
      </c>
      <c r="F19" s="65">
        <f t="shared" si="7"/>
        <v>913500</v>
      </c>
      <c r="G19" s="65">
        <f t="shared" si="7"/>
        <v>927203</v>
      </c>
      <c r="H19" s="65">
        <f t="shared" si="7"/>
        <v>941111</v>
      </c>
      <c r="I19" s="65">
        <f t="shared" si="7"/>
        <v>955228</v>
      </c>
      <c r="J19" s="65">
        <f t="shared" si="7"/>
        <v>969556</v>
      </c>
      <c r="K19" s="65">
        <f t="shared" si="7"/>
        <v>984099</v>
      </c>
      <c r="L19" s="65">
        <f t="shared" si="7"/>
        <v>998860</v>
      </c>
      <c r="M19" s="65">
        <f t="shared" si="7"/>
        <v>1013843</v>
      </c>
      <c r="N19" s="178">
        <f t="shared" si="3"/>
        <v>1044258.29</v>
      </c>
    </row>
    <row r="20" spans="1:14" s="171" customFormat="1" ht="16.5">
      <c r="A20" s="169" t="s">
        <v>109</v>
      </c>
      <c r="B20" s="170" t="s">
        <v>232</v>
      </c>
      <c r="C20" s="203">
        <f aca="true" t="shared" si="8" ref="C20:L20">C21+C25</f>
        <v>63133833</v>
      </c>
      <c r="D20" s="203">
        <f t="shared" si="8"/>
        <v>63297734</v>
      </c>
      <c r="E20" s="203">
        <f t="shared" si="8"/>
        <v>60171030</v>
      </c>
      <c r="F20" s="203">
        <f t="shared" si="8"/>
        <v>59172350</v>
      </c>
      <c r="G20" s="203">
        <f t="shared" si="8"/>
        <v>59000000</v>
      </c>
      <c r="H20" s="203">
        <f t="shared" si="8"/>
        <v>59000000</v>
      </c>
      <c r="I20" s="203">
        <f t="shared" si="8"/>
        <v>58500000</v>
      </c>
      <c r="J20" s="203">
        <f t="shared" si="8"/>
        <v>60000000</v>
      </c>
      <c r="K20" s="203">
        <f t="shared" si="8"/>
        <v>63500000</v>
      </c>
      <c r="L20" s="203">
        <f t="shared" si="8"/>
        <v>62000000</v>
      </c>
      <c r="M20" s="203">
        <f>M21+M25</f>
        <v>62500000</v>
      </c>
      <c r="N20" s="178">
        <f>SUM(N21,N25)</f>
        <v>63500000</v>
      </c>
    </row>
    <row r="21" spans="1:14" s="67" customFormat="1" ht="15">
      <c r="A21" s="172" t="s">
        <v>277</v>
      </c>
      <c r="B21" s="173" t="s">
        <v>38</v>
      </c>
      <c r="C21" s="203">
        <v>56082056</v>
      </c>
      <c r="D21" s="203">
        <v>57068809</v>
      </c>
      <c r="E21" s="65">
        <v>56000000</v>
      </c>
      <c r="F21" s="65">
        <v>56500000</v>
      </c>
      <c r="G21" s="65">
        <v>57000000</v>
      </c>
      <c r="H21" s="65">
        <v>58500000</v>
      </c>
      <c r="I21" s="65">
        <v>58000000</v>
      </c>
      <c r="J21" s="65">
        <v>59500000</v>
      </c>
      <c r="K21" s="65">
        <v>63000000</v>
      </c>
      <c r="L21" s="65">
        <v>61500000</v>
      </c>
      <c r="M21" s="65">
        <v>62000000</v>
      </c>
      <c r="N21" s="178">
        <v>63000000</v>
      </c>
    </row>
    <row r="22" spans="1:14" s="67" customFormat="1" ht="12.75" customHeight="1" hidden="1">
      <c r="A22" s="181" t="s">
        <v>106</v>
      </c>
      <c r="B22" s="48" t="s">
        <v>80</v>
      </c>
      <c r="C22" s="204">
        <f>SUM(C23:C24)</f>
        <v>973415</v>
      </c>
      <c r="D22" s="204">
        <f>SUM(D23:D24)</f>
        <v>1326594</v>
      </c>
      <c r="E22" s="204">
        <f aca="true" t="shared" si="9" ref="E22:L22">SUM(E23:E24)</f>
        <v>1344287</v>
      </c>
      <c r="F22" s="204">
        <f t="shared" si="9"/>
        <v>1246085</v>
      </c>
      <c r="G22" s="204">
        <f t="shared" si="9"/>
        <v>1066506</v>
      </c>
      <c r="H22" s="204">
        <f t="shared" si="9"/>
        <v>938349</v>
      </c>
      <c r="I22" s="204">
        <f t="shared" si="9"/>
        <v>701792</v>
      </c>
      <c r="J22" s="204">
        <f t="shared" si="9"/>
        <v>543482</v>
      </c>
      <c r="K22" s="204">
        <f t="shared" si="9"/>
        <v>315700</v>
      </c>
      <c r="L22" s="204">
        <f t="shared" si="9"/>
        <v>161100</v>
      </c>
      <c r="M22" s="204">
        <f>SUM(M23:M24)</f>
        <v>161100</v>
      </c>
      <c r="N22" s="175">
        <f>SUM(N23:N24)</f>
        <v>0</v>
      </c>
    </row>
    <row r="23" spans="1:14" s="67" customFormat="1" ht="12.75" hidden="1">
      <c r="A23" s="182"/>
      <c r="B23" s="187" t="s">
        <v>81</v>
      </c>
      <c r="C23" s="204">
        <v>667000</v>
      </c>
      <c r="D23" s="204">
        <f>1326594-D24</f>
        <v>1177000</v>
      </c>
      <c r="E23" s="204">
        <f>1623000-524713</f>
        <v>1098287</v>
      </c>
      <c r="F23" s="204">
        <v>1082085</v>
      </c>
      <c r="G23" s="204">
        <v>1066506</v>
      </c>
      <c r="H23" s="204">
        <v>938349</v>
      </c>
      <c r="I23" s="204">
        <v>701792</v>
      </c>
      <c r="J23" s="204">
        <v>543482</v>
      </c>
      <c r="K23" s="204">
        <v>315700</v>
      </c>
      <c r="L23" s="204">
        <v>161100</v>
      </c>
      <c r="M23" s="204">
        <v>161100</v>
      </c>
      <c r="N23" s="175"/>
    </row>
    <row r="24" spans="1:14" s="67" customFormat="1" ht="12.75" hidden="1">
      <c r="A24" s="182"/>
      <c r="B24" s="187" t="s">
        <v>82</v>
      </c>
      <c r="C24" s="204">
        <v>306415</v>
      </c>
      <c r="D24" s="204">
        <v>149594</v>
      </c>
      <c r="E24" s="204">
        <v>246000</v>
      </c>
      <c r="F24" s="204">
        <v>164000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175">
        <v>0</v>
      </c>
    </row>
    <row r="25" spans="1:14" s="67" customFormat="1" ht="15">
      <c r="A25" s="172" t="s">
        <v>42</v>
      </c>
      <c r="B25" s="173" t="s">
        <v>83</v>
      </c>
      <c r="C25" s="203">
        <v>7051777</v>
      </c>
      <c r="D25" s="203">
        <v>6228925</v>
      </c>
      <c r="E25" s="203">
        <v>4171030</v>
      </c>
      <c r="F25" s="203">
        <v>2672350</v>
      </c>
      <c r="G25" s="203">
        <v>2000000</v>
      </c>
      <c r="H25" s="203">
        <v>500000</v>
      </c>
      <c r="I25" s="203">
        <v>500000</v>
      </c>
      <c r="J25" s="203">
        <v>500000</v>
      </c>
      <c r="K25" s="203">
        <v>500000</v>
      </c>
      <c r="L25" s="203">
        <v>500000</v>
      </c>
      <c r="M25" s="203">
        <v>500000</v>
      </c>
      <c r="N25" s="178">
        <v>500000</v>
      </c>
    </row>
    <row r="26" spans="1:14" s="171" customFormat="1" ht="16.5">
      <c r="A26" s="169" t="s">
        <v>110</v>
      </c>
      <c r="B26" s="170" t="s">
        <v>84</v>
      </c>
      <c r="C26" s="203">
        <f>C11-C20</f>
        <v>-7553168</v>
      </c>
      <c r="D26" s="203">
        <f>D11-D20</f>
        <v>-5092954</v>
      </c>
      <c r="E26" s="203">
        <f aca="true" t="shared" si="10" ref="E26:L26">E11-E20</f>
        <v>165194</v>
      </c>
      <c r="F26" s="203">
        <f t="shared" si="10"/>
        <v>2068917</v>
      </c>
      <c r="G26" s="203">
        <f t="shared" si="10"/>
        <v>3159887</v>
      </c>
      <c r="H26" s="203">
        <f t="shared" si="10"/>
        <v>4092285</v>
      </c>
      <c r="I26" s="203">
        <f t="shared" si="10"/>
        <v>5538669</v>
      </c>
      <c r="J26" s="203">
        <f t="shared" si="10"/>
        <v>4999249</v>
      </c>
      <c r="K26" s="203">
        <f t="shared" si="10"/>
        <v>2474237</v>
      </c>
      <c r="L26" s="203">
        <f t="shared" si="10"/>
        <v>4963850</v>
      </c>
      <c r="M26" s="203">
        <f>M11-M20</f>
        <v>5968308</v>
      </c>
      <c r="N26" s="178">
        <f>N11-N20</f>
        <v>7022357.24000001</v>
      </c>
    </row>
    <row r="27" spans="1:14" s="184" customFormat="1" ht="38.25" customHeight="1">
      <c r="A27" s="169" t="s">
        <v>127</v>
      </c>
      <c r="B27" s="183" t="s">
        <v>85</v>
      </c>
      <c r="C27" s="203">
        <v>13233971</v>
      </c>
      <c r="D27" s="203">
        <f>SUM(C44)</f>
        <v>20733971</v>
      </c>
      <c r="E27" s="203">
        <f aca="true" t="shared" si="11" ref="E27:N27">SUM(D41)</f>
        <v>24523712</v>
      </c>
      <c r="F27" s="203">
        <f t="shared" si="11"/>
        <v>24358518</v>
      </c>
      <c r="G27" s="203">
        <f t="shared" si="11"/>
        <v>22289601</v>
      </c>
      <c r="H27" s="203">
        <f t="shared" si="11"/>
        <v>19129714</v>
      </c>
      <c r="I27" s="203">
        <f t="shared" si="11"/>
        <v>15037429</v>
      </c>
      <c r="J27" s="203">
        <f t="shared" si="11"/>
        <v>9498760</v>
      </c>
      <c r="K27" s="203">
        <f t="shared" si="11"/>
        <v>4499511</v>
      </c>
      <c r="L27" s="203">
        <f t="shared" si="11"/>
        <v>2025274</v>
      </c>
      <c r="M27" s="203">
        <f t="shared" si="11"/>
        <v>225274</v>
      </c>
      <c r="N27" s="178">
        <f t="shared" si="11"/>
        <v>0</v>
      </c>
    </row>
    <row r="28" spans="1:14" s="185" customFormat="1" ht="30" customHeight="1">
      <c r="A28" s="172" t="s">
        <v>150</v>
      </c>
      <c r="B28" s="179" t="s">
        <v>86</v>
      </c>
      <c r="C28" s="201">
        <v>9904000</v>
      </c>
      <c r="D28" s="201">
        <f>SUM('zał2-sfin'!F14)</f>
        <v>7013341</v>
      </c>
      <c r="E28" s="201">
        <f aca="true" t="shared" si="12" ref="E28:K28">-E26+E32+E36+E39</f>
        <v>4492806</v>
      </c>
      <c r="F28" s="201">
        <f t="shared" si="12"/>
        <v>1791083</v>
      </c>
      <c r="G28" s="201">
        <f t="shared" si="12"/>
        <v>690113</v>
      </c>
      <c r="H28" s="201">
        <f t="shared" si="12"/>
        <v>157715</v>
      </c>
      <c r="I28" s="201">
        <f t="shared" si="12"/>
        <v>99702</v>
      </c>
      <c r="J28" s="201">
        <f t="shared" si="12"/>
        <v>4751</v>
      </c>
      <c r="K28" s="201">
        <f t="shared" si="12"/>
        <v>175763</v>
      </c>
      <c r="L28" s="201">
        <v>0</v>
      </c>
      <c r="M28" s="201">
        <v>0</v>
      </c>
      <c r="N28" s="178">
        <f>240162+N31+N39</f>
        <v>3551162</v>
      </c>
    </row>
    <row r="29" spans="1:14" s="185" customFormat="1" ht="15" customHeight="1" hidden="1">
      <c r="A29" s="172">
        <v>2</v>
      </c>
      <c r="B29" s="179" t="s">
        <v>87</v>
      </c>
      <c r="C29" s="202" t="s">
        <v>179</v>
      </c>
      <c r="D29" s="202" t="s">
        <v>179</v>
      </c>
      <c r="E29" s="202" t="s">
        <v>179</v>
      </c>
      <c r="F29" s="202" t="s">
        <v>179</v>
      </c>
      <c r="G29" s="202" t="s">
        <v>179</v>
      </c>
      <c r="H29" s="202" t="s">
        <v>179</v>
      </c>
      <c r="I29" s="202" t="s">
        <v>179</v>
      </c>
      <c r="J29" s="202" t="s">
        <v>179</v>
      </c>
      <c r="K29" s="202" t="s">
        <v>179</v>
      </c>
      <c r="L29" s="202" t="s">
        <v>179</v>
      </c>
      <c r="M29" s="202" t="s">
        <v>179</v>
      </c>
      <c r="N29" s="329" t="s">
        <v>179</v>
      </c>
    </row>
    <row r="30" spans="1:14" s="185" customFormat="1" ht="15" customHeight="1">
      <c r="A30" s="172" t="s">
        <v>151</v>
      </c>
      <c r="B30" s="180" t="s">
        <v>276</v>
      </c>
      <c r="C30" s="202">
        <f>SUM(C31,C35,C39,C40)</f>
        <v>3191057</v>
      </c>
      <c r="D30" s="202">
        <f aca="true" t="shared" si="13" ref="D30:M30">SUM(D31,D35,D39,D40)</f>
        <v>4700194</v>
      </c>
      <c r="E30" s="202">
        <f t="shared" si="13"/>
        <v>6575926</v>
      </c>
      <c r="F30" s="202">
        <f t="shared" si="13"/>
        <v>5579480</v>
      </c>
      <c r="G30" s="202">
        <f t="shared" si="13"/>
        <v>5376486</v>
      </c>
      <c r="H30" s="202">
        <f t="shared" si="13"/>
        <v>5531871</v>
      </c>
      <c r="I30" s="202">
        <f t="shared" si="13"/>
        <v>6473309</v>
      </c>
      <c r="J30" s="202">
        <f t="shared" si="13"/>
        <v>5568976</v>
      </c>
      <c r="K30" s="202">
        <f t="shared" si="13"/>
        <v>3071264</v>
      </c>
      <c r="L30" s="202">
        <f t="shared" si="13"/>
        <v>2139940</v>
      </c>
      <c r="M30" s="202">
        <f t="shared" si="13"/>
        <v>450274</v>
      </c>
      <c r="N30" s="329"/>
    </row>
    <row r="31" spans="1:14" s="185" customFormat="1" ht="30">
      <c r="A31" s="172" t="s">
        <v>277</v>
      </c>
      <c r="B31" s="179" t="s">
        <v>41</v>
      </c>
      <c r="C31" s="203">
        <f>SUM(C32:C34)</f>
        <v>1191057</v>
      </c>
      <c r="D31" s="203">
        <f aca="true" t="shared" si="14" ref="D31:M31">SUM(D32:D34)</f>
        <v>3263194</v>
      </c>
      <c r="E31" s="203">
        <f t="shared" si="14"/>
        <v>2675926</v>
      </c>
      <c r="F31" s="203">
        <f t="shared" si="14"/>
        <v>3974480</v>
      </c>
      <c r="G31" s="203">
        <f t="shared" si="14"/>
        <v>4006486</v>
      </c>
      <c r="H31" s="203">
        <f t="shared" si="14"/>
        <v>3501871</v>
      </c>
      <c r="I31" s="203">
        <f t="shared" si="14"/>
        <v>3513309</v>
      </c>
      <c r="J31" s="203">
        <f t="shared" si="14"/>
        <v>2128976</v>
      </c>
      <c r="K31" s="203">
        <f t="shared" si="14"/>
        <v>551264</v>
      </c>
      <c r="L31" s="203">
        <f t="shared" si="14"/>
        <v>0</v>
      </c>
      <c r="M31" s="203">
        <f t="shared" si="14"/>
        <v>0</v>
      </c>
      <c r="N31" s="178">
        <v>2311000</v>
      </c>
    </row>
    <row r="32" spans="1:14" s="185" customFormat="1" ht="15" customHeight="1">
      <c r="A32" s="174" t="s">
        <v>278</v>
      </c>
      <c r="B32" s="48" t="s">
        <v>279</v>
      </c>
      <c r="C32" s="204">
        <v>404000</v>
      </c>
      <c r="D32" s="204">
        <v>2223600</v>
      </c>
      <c r="E32" s="204">
        <v>1458000</v>
      </c>
      <c r="F32" s="204">
        <v>2860000</v>
      </c>
      <c r="G32" s="204">
        <v>3050000</v>
      </c>
      <c r="H32" s="204">
        <v>2750000</v>
      </c>
      <c r="I32" s="204">
        <v>3038371</v>
      </c>
      <c r="J32" s="204">
        <v>1904000</v>
      </c>
      <c r="K32" s="204">
        <v>450000</v>
      </c>
      <c r="L32" s="204">
        <v>0</v>
      </c>
      <c r="M32" s="204">
        <v>0</v>
      </c>
      <c r="N32" s="175">
        <v>0</v>
      </c>
    </row>
    <row r="33" spans="1:14" s="185" customFormat="1" ht="51" hidden="1">
      <c r="A33" s="174" t="s">
        <v>107</v>
      </c>
      <c r="B33" s="48" t="s">
        <v>39</v>
      </c>
      <c r="C33" s="204">
        <v>0</v>
      </c>
      <c r="D33" s="204">
        <v>0</v>
      </c>
      <c r="E33" s="204"/>
      <c r="F33" s="204"/>
      <c r="G33" s="204"/>
      <c r="H33" s="204"/>
      <c r="I33" s="204"/>
      <c r="J33" s="204"/>
      <c r="K33" s="204"/>
      <c r="L33" s="204"/>
      <c r="M33" s="204"/>
      <c r="N33" s="175"/>
    </row>
    <row r="34" spans="1:14" s="185" customFormat="1" ht="15" customHeight="1">
      <c r="A34" s="174" t="s">
        <v>107</v>
      </c>
      <c r="B34" s="48" t="s">
        <v>40</v>
      </c>
      <c r="C34" s="204">
        <v>787057</v>
      </c>
      <c r="D34" s="204">
        <f>890000+149594</f>
        <v>1039594</v>
      </c>
      <c r="E34" s="204">
        <f>ROUND(E44*5%,0)</f>
        <v>1217926</v>
      </c>
      <c r="F34" s="204">
        <f aca="true" t="shared" si="15" ref="F34:N34">ROUND(F44*5%,0)</f>
        <v>1114480</v>
      </c>
      <c r="G34" s="204">
        <f t="shared" si="15"/>
        <v>956486</v>
      </c>
      <c r="H34" s="204">
        <f t="shared" si="15"/>
        <v>751871</v>
      </c>
      <c r="I34" s="204">
        <f t="shared" si="15"/>
        <v>474938</v>
      </c>
      <c r="J34" s="204">
        <f t="shared" si="15"/>
        <v>224976</v>
      </c>
      <c r="K34" s="204">
        <f t="shared" si="15"/>
        <v>101264</v>
      </c>
      <c r="L34" s="204">
        <v>0</v>
      </c>
      <c r="M34" s="204">
        <v>0</v>
      </c>
      <c r="N34" s="330">
        <f t="shared" si="15"/>
        <v>12008</v>
      </c>
    </row>
    <row r="35" spans="1:14" s="185" customFormat="1" ht="30">
      <c r="A35" s="172" t="s">
        <v>42</v>
      </c>
      <c r="B35" s="179" t="s">
        <v>43</v>
      </c>
      <c r="C35" s="203">
        <f>SUM(C36:C38)</f>
        <v>0</v>
      </c>
      <c r="D35" s="203">
        <f aca="true" t="shared" si="16" ref="D35:M35">SUM(D36:D38)</f>
        <v>287000</v>
      </c>
      <c r="E35" s="203">
        <f t="shared" si="16"/>
        <v>1750000</v>
      </c>
      <c r="F35" s="203">
        <f t="shared" si="16"/>
        <v>1455000</v>
      </c>
      <c r="G35" s="203">
        <f t="shared" si="16"/>
        <v>1220000</v>
      </c>
      <c r="H35" s="203">
        <f t="shared" si="16"/>
        <v>1880000</v>
      </c>
      <c r="I35" s="203">
        <f t="shared" si="16"/>
        <v>2960000</v>
      </c>
      <c r="J35" s="203">
        <f t="shared" si="16"/>
        <v>3440000</v>
      </c>
      <c r="K35" s="203">
        <f t="shared" si="16"/>
        <v>2520000</v>
      </c>
      <c r="L35" s="203">
        <f t="shared" si="16"/>
        <v>2139940</v>
      </c>
      <c r="M35" s="203">
        <f t="shared" si="16"/>
        <v>450274</v>
      </c>
      <c r="N35" s="331"/>
    </row>
    <row r="36" spans="1:14" s="185" customFormat="1" ht="15" customHeight="1">
      <c r="A36" s="174" t="s">
        <v>278</v>
      </c>
      <c r="B36" s="48" t="s">
        <v>279</v>
      </c>
      <c r="C36" s="204">
        <v>0</v>
      </c>
      <c r="D36" s="204">
        <v>0</v>
      </c>
      <c r="E36" s="204">
        <v>1200000</v>
      </c>
      <c r="F36" s="204">
        <v>1000000</v>
      </c>
      <c r="G36" s="204">
        <v>800000</v>
      </c>
      <c r="H36" s="204">
        <v>1500000</v>
      </c>
      <c r="I36" s="204">
        <v>2600000</v>
      </c>
      <c r="J36" s="204">
        <v>3100000</v>
      </c>
      <c r="K36" s="204">
        <v>2200000</v>
      </c>
      <c r="L36" s="204">
        <v>1800000</v>
      </c>
      <c r="M36" s="204">
        <v>225274</v>
      </c>
      <c r="N36" s="175"/>
    </row>
    <row r="37" spans="1:14" s="185" customFormat="1" ht="51" hidden="1">
      <c r="A37" s="174" t="s">
        <v>107</v>
      </c>
      <c r="B37" s="48" t="s">
        <v>39</v>
      </c>
      <c r="C37" s="204">
        <v>0</v>
      </c>
      <c r="D37" s="204">
        <v>0</v>
      </c>
      <c r="E37" s="204"/>
      <c r="F37" s="204"/>
      <c r="G37" s="204"/>
      <c r="H37" s="204"/>
      <c r="I37" s="204"/>
      <c r="J37" s="204"/>
      <c r="K37" s="204"/>
      <c r="L37" s="204"/>
      <c r="M37" s="204"/>
      <c r="N37" s="175"/>
    </row>
    <row r="38" spans="1:14" s="185" customFormat="1" ht="15" customHeight="1">
      <c r="A38" s="174" t="s">
        <v>107</v>
      </c>
      <c r="B38" s="48" t="s">
        <v>40</v>
      </c>
      <c r="C38" s="204">
        <v>0</v>
      </c>
      <c r="D38" s="204">
        <f>97000+190000</f>
        <v>287000</v>
      </c>
      <c r="E38" s="204">
        <v>550000</v>
      </c>
      <c r="F38" s="204">
        <v>455000</v>
      </c>
      <c r="G38" s="204">
        <v>420000</v>
      </c>
      <c r="H38" s="204">
        <v>380000</v>
      </c>
      <c r="I38" s="204">
        <v>360000</v>
      </c>
      <c r="J38" s="204">
        <v>340000</v>
      </c>
      <c r="K38" s="204">
        <v>320000</v>
      </c>
      <c r="L38" s="204">
        <f>250000+89940</f>
        <v>339940</v>
      </c>
      <c r="M38" s="204">
        <v>225000</v>
      </c>
      <c r="N38" s="175"/>
    </row>
    <row r="39" spans="1:14" s="185" customFormat="1" ht="15" customHeight="1">
      <c r="A39" s="172" t="s">
        <v>46</v>
      </c>
      <c r="B39" s="179" t="s">
        <v>45</v>
      </c>
      <c r="C39" s="203">
        <v>2000000</v>
      </c>
      <c r="D39" s="203">
        <v>1000000</v>
      </c>
      <c r="E39" s="203">
        <v>2000000</v>
      </c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  <c r="N39" s="178">
        <v>1000000</v>
      </c>
    </row>
    <row r="40" spans="1:14" s="185" customFormat="1" ht="15" customHeight="1">
      <c r="A40" s="172" t="s">
        <v>47</v>
      </c>
      <c r="B40" s="179" t="s">
        <v>44</v>
      </c>
      <c r="C40" s="203">
        <v>0</v>
      </c>
      <c r="D40" s="203">
        <v>150000</v>
      </c>
      <c r="E40" s="203">
        <v>150000</v>
      </c>
      <c r="F40" s="203">
        <v>150000</v>
      </c>
      <c r="G40" s="203">
        <v>150000</v>
      </c>
      <c r="H40" s="203">
        <v>150000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178">
        <v>0</v>
      </c>
    </row>
    <row r="41" spans="1:14" s="184" customFormat="1" ht="25.5" customHeight="1">
      <c r="A41" s="169" t="s">
        <v>152</v>
      </c>
      <c r="B41" s="183" t="s">
        <v>89</v>
      </c>
      <c r="C41" s="203">
        <f>SUM(C27+C28-C32-C36-C39)</f>
        <v>20733971</v>
      </c>
      <c r="D41" s="203">
        <f aca="true" t="shared" si="17" ref="D41:M41">SUM(D27+D28-D32-D36-D39)</f>
        <v>24523712</v>
      </c>
      <c r="E41" s="203">
        <f t="shared" si="17"/>
        <v>24358518</v>
      </c>
      <c r="F41" s="203">
        <f t="shared" si="17"/>
        <v>22289601</v>
      </c>
      <c r="G41" s="203">
        <f t="shared" si="17"/>
        <v>19129714</v>
      </c>
      <c r="H41" s="203">
        <f t="shared" si="17"/>
        <v>15037429</v>
      </c>
      <c r="I41" s="203">
        <f t="shared" si="17"/>
        <v>9498760</v>
      </c>
      <c r="J41" s="203">
        <f t="shared" si="17"/>
        <v>4499511</v>
      </c>
      <c r="K41" s="203">
        <f t="shared" si="17"/>
        <v>2025274</v>
      </c>
      <c r="L41" s="203">
        <f t="shared" si="17"/>
        <v>225274</v>
      </c>
      <c r="M41" s="203">
        <f t="shared" si="17"/>
        <v>0</v>
      </c>
      <c r="N41" s="178">
        <f>SUM(N27,N28,-N31,-N39)</f>
        <v>240162</v>
      </c>
    </row>
    <row r="42" spans="1:14" s="184" customFormat="1" ht="51" customHeight="1">
      <c r="A42" s="571" t="s">
        <v>154</v>
      </c>
      <c r="B42" s="504" t="s">
        <v>90</v>
      </c>
      <c r="C42" s="203">
        <f>SUM(C32,C36,C40,C39,C34,C38)</f>
        <v>3191057</v>
      </c>
      <c r="D42" s="203">
        <f>SUM(D32,D36,D40,D39,D34,D38)</f>
        <v>4700194</v>
      </c>
      <c r="E42" s="203">
        <f>SUM(E32,E36,E40,E39,E34,E38)</f>
        <v>6575926</v>
      </c>
      <c r="F42" s="203">
        <f aca="true" t="shared" si="18" ref="F42:M42">SUM(F32,F36,F40,F39,F34,F38)</f>
        <v>5579480</v>
      </c>
      <c r="G42" s="203">
        <f t="shared" si="18"/>
        <v>5376486</v>
      </c>
      <c r="H42" s="203">
        <f t="shared" si="18"/>
        <v>5531871</v>
      </c>
      <c r="I42" s="203">
        <f t="shared" si="18"/>
        <v>6473309</v>
      </c>
      <c r="J42" s="203">
        <f t="shared" si="18"/>
        <v>5568976</v>
      </c>
      <c r="K42" s="203">
        <f t="shared" si="18"/>
        <v>3071264</v>
      </c>
      <c r="L42" s="203">
        <f t="shared" si="18"/>
        <v>2139940</v>
      </c>
      <c r="M42" s="203">
        <f t="shared" si="18"/>
        <v>450274</v>
      </c>
      <c r="N42" s="178">
        <f>SUM(N31:N39,N22)</f>
        <v>3323008</v>
      </c>
    </row>
    <row r="43" spans="1:14" s="323" customFormat="1" ht="17.25" customHeight="1">
      <c r="A43" s="572"/>
      <c r="B43" s="506"/>
      <c r="C43" s="322">
        <f aca="true" t="shared" si="19" ref="C43:N43">C42/C11</f>
        <v>0.057413077011583075</v>
      </c>
      <c r="D43" s="322">
        <f t="shared" si="19"/>
        <v>0.08075271481139522</v>
      </c>
      <c r="E43" s="322">
        <f t="shared" si="19"/>
        <v>0.10898802682779751</v>
      </c>
      <c r="F43" s="322">
        <f t="shared" si="19"/>
        <v>0.09110654095383101</v>
      </c>
      <c r="G43" s="322">
        <f t="shared" si="19"/>
        <v>0.08649446225666402</v>
      </c>
      <c r="H43" s="322">
        <f t="shared" si="19"/>
        <v>0.08767904031372457</v>
      </c>
      <c r="I43" s="322">
        <f t="shared" si="19"/>
        <v>0.1010843776281484</v>
      </c>
      <c r="J43" s="322">
        <f t="shared" si="19"/>
        <v>0.08567754375131319</v>
      </c>
      <c r="K43" s="322">
        <f t="shared" si="19"/>
        <v>0.046552474718275255</v>
      </c>
      <c r="L43" s="322">
        <f t="shared" si="19"/>
        <v>0.031956645264571856</v>
      </c>
      <c r="M43" s="322">
        <f t="shared" si="19"/>
        <v>0.006576385676129166</v>
      </c>
      <c r="N43" s="332">
        <f t="shared" si="19"/>
        <v>0.04711992239129526</v>
      </c>
    </row>
    <row r="44" spans="1:14" s="184" customFormat="1" ht="25.5" customHeight="1">
      <c r="A44" s="169" t="s">
        <v>154</v>
      </c>
      <c r="B44" s="183" t="s">
        <v>48</v>
      </c>
      <c r="C44" s="203">
        <f>SUM(C45:C46)</f>
        <v>20733971</v>
      </c>
      <c r="D44" s="203">
        <f>SUM(D45:D46)</f>
        <v>24523712</v>
      </c>
      <c r="E44" s="203">
        <f aca="true" t="shared" si="20" ref="E44:L44">SUM(E45:E46)</f>
        <v>24358518</v>
      </c>
      <c r="F44" s="203">
        <f t="shared" si="20"/>
        <v>22289601</v>
      </c>
      <c r="G44" s="203">
        <f t="shared" si="20"/>
        <v>19129714</v>
      </c>
      <c r="H44" s="203">
        <f t="shared" si="20"/>
        <v>15037429</v>
      </c>
      <c r="I44" s="203">
        <f t="shared" si="20"/>
        <v>9498760</v>
      </c>
      <c r="J44" s="203">
        <f t="shared" si="20"/>
        <v>4499511</v>
      </c>
      <c r="K44" s="203">
        <f t="shared" si="20"/>
        <v>2025274</v>
      </c>
      <c r="L44" s="203">
        <f t="shared" si="20"/>
        <v>225274</v>
      </c>
      <c r="M44" s="203">
        <f>SUM(M45:M46)</f>
        <v>0</v>
      </c>
      <c r="N44" s="178">
        <f>SUM(N45:N46)</f>
        <v>240162</v>
      </c>
    </row>
    <row r="45" spans="1:14" s="185" customFormat="1" ht="15" customHeight="1" hidden="1">
      <c r="A45" s="172">
        <v>1</v>
      </c>
      <c r="B45" s="179" t="s">
        <v>91</v>
      </c>
      <c r="C45" s="202">
        <v>17733971</v>
      </c>
      <c r="D45" s="202">
        <f aca="true" t="shared" si="21" ref="D45:M45">C45+D28-D32-D36</f>
        <v>22523712</v>
      </c>
      <c r="E45" s="202">
        <f t="shared" si="21"/>
        <v>24358518</v>
      </c>
      <c r="F45" s="202">
        <f t="shared" si="21"/>
        <v>22289601</v>
      </c>
      <c r="G45" s="202">
        <f t="shared" si="21"/>
        <v>19129714</v>
      </c>
      <c r="H45" s="202">
        <f t="shared" si="21"/>
        <v>15037429</v>
      </c>
      <c r="I45" s="202">
        <f t="shared" si="21"/>
        <v>9498760</v>
      </c>
      <c r="J45" s="202">
        <f t="shared" si="21"/>
        <v>4499511</v>
      </c>
      <c r="K45" s="202">
        <f t="shared" si="21"/>
        <v>2025274</v>
      </c>
      <c r="L45" s="202">
        <f t="shared" si="21"/>
        <v>225274</v>
      </c>
      <c r="M45" s="202">
        <f t="shared" si="21"/>
        <v>0</v>
      </c>
      <c r="N45" s="178">
        <f>M45+N28-N31</f>
        <v>1240162</v>
      </c>
    </row>
    <row r="46" spans="1:14" s="185" customFormat="1" ht="15" customHeight="1" hidden="1">
      <c r="A46" s="172">
        <v>2</v>
      </c>
      <c r="B46" s="179" t="s">
        <v>87</v>
      </c>
      <c r="C46" s="202">
        <v>3000000</v>
      </c>
      <c r="D46" s="202">
        <f aca="true" t="shared" si="22" ref="D46:N46">C46-D39</f>
        <v>2000000</v>
      </c>
      <c r="E46" s="202">
        <f t="shared" si="22"/>
        <v>0</v>
      </c>
      <c r="F46" s="202">
        <f t="shared" si="22"/>
        <v>0</v>
      </c>
      <c r="G46" s="202">
        <f t="shared" si="22"/>
        <v>0</v>
      </c>
      <c r="H46" s="202">
        <f t="shared" si="22"/>
        <v>0</v>
      </c>
      <c r="I46" s="202">
        <f t="shared" si="22"/>
        <v>0</v>
      </c>
      <c r="J46" s="202">
        <f t="shared" si="22"/>
        <v>0</v>
      </c>
      <c r="K46" s="202">
        <f t="shared" si="22"/>
        <v>0</v>
      </c>
      <c r="L46" s="202">
        <f t="shared" si="22"/>
        <v>0</v>
      </c>
      <c r="M46" s="202">
        <f t="shared" si="22"/>
        <v>0</v>
      </c>
      <c r="N46" s="178">
        <f t="shared" si="22"/>
        <v>-1000000</v>
      </c>
    </row>
    <row r="47" spans="1:14" s="126" customFormat="1" ht="51">
      <c r="A47" s="214" t="s">
        <v>106</v>
      </c>
      <c r="B47" s="48" t="s">
        <v>49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06"/>
    </row>
    <row r="48" spans="1:14" s="218" customFormat="1" ht="21" customHeight="1">
      <c r="A48" s="101" t="s">
        <v>404</v>
      </c>
      <c r="B48" s="183" t="s">
        <v>312</v>
      </c>
      <c r="C48" s="219">
        <f aca="true" t="shared" si="23" ref="C48:N48">C44/C11</f>
        <v>0.37304287381232304</v>
      </c>
      <c r="D48" s="219">
        <f t="shared" si="23"/>
        <v>0.421335017501999</v>
      </c>
      <c r="E48" s="219">
        <f t="shared" si="23"/>
        <v>0.4037130000047732</v>
      </c>
      <c r="F48" s="219">
        <f t="shared" si="23"/>
        <v>0.3639637468636957</v>
      </c>
      <c r="G48" s="219">
        <f t="shared" si="23"/>
        <v>0.30775014118027594</v>
      </c>
      <c r="H48" s="219">
        <f t="shared" si="23"/>
        <v>0.2383402186178548</v>
      </c>
      <c r="I48" s="219">
        <f t="shared" si="23"/>
        <v>0.14832850445408227</v>
      </c>
      <c r="J48" s="219">
        <f t="shared" si="23"/>
        <v>0.06922404595782329</v>
      </c>
      <c r="K48" s="219">
        <f t="shared" si="23"/>
        <v>0.030697952596253596</v>
      </c>
      <c r="L48" s="219">
        <f t="shared" si="23"/>
        <v>0.0033641136224993036</v>
      </c>
      <c r="M48" s="219">
        <f t="shared" si="23"/>
        <v>0</v>
      </c>
      <c r="N48" s="333">
        <f t="shared" si="23"/>
        <v>0.003405473234292019</v>
      </c>
    </row>
    <row r="49" spans="1:14" s="220" customFormat="1" ht="25.5">
      <c r="A49" s="101" t="s">
        <v>405</v>
      </c>
      <c r="B49" s="183" t="s">
        <v>313</v>
      </c>
      <c r="C49" s="221">
        <f>(C42/C11)</f>
        <v>0.057413077011583075</v>
      </c>
      <c r="D49" s="221">
        <f aca="true" t="shared" si="24" ref="D49:M49">(D42/D11)</f>
        <v>0.08075271481139522</v>
      </c>
      <c r="E49" s="221">
        <f t="shared" si="24"/>
        <v>0.10898802682779751</v>
      </c>
      <c r="F49" s="221">
        <f t="shared" si="24"/>
        <v>0.09110654095383101</v>
      </c>
      <c r="G49" s="221">
        <f t="shared" si="24"/>
        <v>0.08649446225666402</v>
      </c>
      <c r="H49" s="221">
        <f t="shared" si="24"/>
        <v>0.08767904031372457</v>
      </c>
      <c r="I49" s="221">
        <f t="shared" si="24"/>
        <v>0.1010843776281484</v>
      </c>
      <c r="J49" s="221">
        <f t="shared" si="24"/>
        <v>0.08567754375131319</v>
      </c>
      <c r="K49" s="221">
        <f t="shared" si="24"/>
        <v>0.046552474718275255</v>
      </c>
      <c r="L49" s="221">
        <f t="shared" si="24"/>
        <v>0.031956645264571856</v>
      </c>
      <c r="M49" s="221">
        <f t="shared" si="24"/>
        <v>0.006576385676129166</v>
      </c>
      <c r="N49" s="334"/>
    </row>
    <row r="50" spans="1:14" s="128" customFormat="1" ht="17.25" customHeight="1">
      <c r="A50" s="165" t="s">
        <v>406</v>
      </c>
      <c r="B50" s="183" t="s">
        <v>314</v>
      </c>
      <c r="C50" s="221">
        <f aca="true" t="shared" si="25" ref="C50:M50">C44/C11</f>
        <v>0.37304287381232304</v>
      </c>
      <c r="D50" s="221">
        <f t="shared" si="25"/>
        <v>0.421335017501999</v>
      </c>
      <c r="E50" s="221">
        <f t="shared" si="25"/>
        <v>0.4037130000047732</v>
      </c>
      <c r="F50" s="221">
        <f t="shared" si="25"/>
        <v>0.3639637468636957</v>
      </c>
      <c r="G50" s="221">
        <f t="shared" si="25"/>
        <v>0.30775014118027594</v>
      </c>
      <c r="H50" s="221">
        <f t="shared" si="25"/>
        <v>0.2383402186178548</v>
      </c>
      <c r="I50" s="221">
        <f t="shared" si="25"/>
        <v>0.14832850445408227</v>
      </c>
      <c r="J50" s="221">
        <f t="shared" si="25"/>
        <v>0.06922404595782329</v>
      </c>
      <c r="K50" s="221">
        <f t="shared" si="25"/>
        <v>0.030697952596253596</v>
      </c>
      <c r="L50" s="221">
        <f t="shared" si="25"/>
        <v>0.0033641136224993036</v>
      </c>
      <c r="M50" s="221">
        <f t="shared" si="25"/>
        <v>0</v>
      </c>
      <c r="N50" s="334"/>
    </row>
    <row r="51" spans="1:14" s="128" customFormat="1" ht="24.75" customHeight="1">
      <c r="A51" s="165" t="s">
        <v>407</v>
      </c>
      <c r="B51" s="183" t="s">
        <v>315</v>
      </c>
      <c r="C51" s="221">
        <f>C42/C11</f>
        <v>0.057413077011583075</v>
      </c>
      <c r="D51" s="221">
        <f aca="true" t="shared" si="26" ref="D51:M51">D42/D11</f>
        <v>0.08075271481139522</v>
      </c>
      <c r="E51" s="221">
        <f t="shared" si="26"/>
        <v>0.10898802682779751</v>
      </c>
      <c r="F51" s="221">
        <f t="shared" si="26"/>
        <v>0.09110654095383101</v>
      </c>
      <c r="G51" s="221">
        <f t="shared" si="26"/>
        <v>0.08649446225666402</v>
      </c>
      <c r="H51" s="221">
        <f t="shared" si="26"/>
        <v>0.08767904031372457</v>
      </c>
      <c r="I51" s="221">
        <f t="shared" si="26"/>
        <v>0.1010843776281484</v>
      </c>
      <c r="J51" s="221">
        <f t="shared" si="26"/>
        <v>0.08567754375131319</v>
      </c>
      <c r="K51" s="221">
        <f t="shared" si="26"/>
        <v>0.046552474718275255</v>
      </c>
      <c r="L51" s="221">
        <f t="shared" si="26"/>
        <v>0.031956645264571856</v>
      </c>
      <c r="M51" s="221">
        <f t="shared" si="26"/>
        <v>0.006576385676129166</v>
      </c>
      <c r="N51" s="334"/>
    </row>
  </sheetData>
  <mergeCells count="5">
    <mergeCell ref="G7:J7"/>
    <mergeCell ref="K7:N7"/>
    <mergeCell ref="A42:A43"/>
    <mergeCell ref="B42:B43"/>
    <mergeCell ref="C7:C8"/>
  </mergeCells>
  <printOptions/>
  <pageMargins left="0.71" right="0.33" top="0.27" bottom="0.69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G612"/>
  <sheetViews>
    <sheetView workbookViewId="0" topLeftCell="A1">
      <selection activeCell="D19" sqref="D19"/>
    </sheetView>
  </sheetViews>
  <sheetFormatPr defaultColWidth="9.00390625" defaultRowHeight="12.75"/>
  <cols>
    <col min="1" max="1" width="4.875" style="98" bestFit="1" customWidth="1"/>
    <col min="2" max="2" width="7.75390625" style="98" bestFit="1" customWidth="1"/>
    <col min="3" max="3" width="8.125" style="98" bestFit="1" customWidth="1"/>
    <col min="4" max="4" width="32.125" style="99" customWidth="1"/>
    <col min="5" max="5" width="15.625" style="71" customWidth="1"/>
    <col min="6" max="6" width="13.25390625" style="104" customWidth="1"/>
    <col min="7" max="7" width="12.875" style="371" customWidth="1"/>
    <col min="8" max="16384" width="9.125" style="99" customWidth="1"/>
  </cols>
  <sheetData>
    <row r="1" spans="5:7" ht="12.75">
      <c r="E1" s="106"/>
      <c r="F1" s="99"/>
      <c r="G1" s="75" t="s">
        <v>426</v>
      </c>
    </row>
    <row r="2" spans="5:7" ht="14.25">
      <c r="E2" s="106"/>
      <c r="F2" s="106"/>
      <c r="G2" s="103" t="s">
        <v>416</v>
      </c>
    </row>
    <row r="3" spans="5:7" ht="14.25">
      <c r="E3" s="106"/>
      <c r="F3" s="106"/>
      <c r="G3" s="103" t="s">
        <v>422</v>
      </c>
    </row>
    <row r="4" ht="6.75" customHeight="1">
      <c r="G4" s="370"/>
    </row>
    <row r="5" ht="6.75" customHeight="1">
      <c r="G5" s="67"/>
    </row>
    <row r="6" spans="1:7" ht="12.75">
      <c r="A6" s="441" t="s">
        <v>235</v>
      </c>
      <c r="B6" s="441"/>
      <c r="C6" s="441"/>
      <c r="D6" s="441"/>
      <c r="E6" s="441"/>
      <c r="F6" s="441"/>
      <c r="G6" s="441"/>
    </row>
    <row r="7" spans="1:7" ht="12.75">
      <c r="A7" s="441" t="s">
        <v>390</v>
      </c>
      <c r="B7" s="441"/>
      <c r="C7" s="441"/>
      <c r="D7" s="441"/>
      <c r="E7" s="441"/>
      <c r="F7" s="441"/>
      <c r="G7" s="441"/>
    </row>
    <row r="8" spans="2:4" ht="8.25" customHeight="1">
      <c r="B8" s="108"/>
      <c r="C8" s="350"/>
      <c r="D8" s="109"/>
    </row>
    <row r="9" spans="1:7" s="110" customFormat="1" ht="66" customHeight="1">
      <c r="A9" s="351" t="s">
        <v>98</v>
      </c>
      <c r="B9" s="351" t="s">
        <v>99</v>
      </c>
      <c r="C9" s="351" t="s">
        <v>194</v>
      </c>
      <c r="D9" s="44" t="s">
        <v>100</v>
      </c>
      <c r="E9" s="62" t="s">
        <v>331</v>
      </c>
      <c r="F9" s="352" t="s">
        <v>102</v>
      </c>
      <c r="G9" s="62" t="s">
        <v>332</v>
      </c>
    </row>
    <row r="10" spans="1:7" s="111" customFormat="1" ht="12.75">
      <c r="A10" s="213">
        <v>1</v>
      </c>
      <c r="B10" s="213">
        <v>2</v>
      </c>
      <c r="C10" s="213">
        <v>3</v>
      </c>
      <c r="D10" s="212">
        <v>4</v>
      </c>
      <c r="E10" s="212">
        <v>5</v>
      </c>
      <c r="F10" s="215">
        <v>6</v>
      </c>
      <c r="G10" s="215">
        <v>7</v>
      </c>
    </row>
    <row r="11" spans="1:7" s="64" customFormat="1" ht="12.75">
      <c r="A11" s="112" t="s">
        <v>195</v>
      </c>
      <c r="B11" s="113"/>
      <c r="C11" s="113"/>
      <c r="D11" s="63" t="s">
        <v>196</v>
      </c>
      <c r="E11" s="114">
        <f>E12</f>
        <v>35000</v>
      </c>
      <c r="F11" s="114">
        <f>F12</f>
        <v>35000</v>
      </c>
      <c r="G11" s="69">
        <f>SUM(G18)</f>
        <v>4391</v>
      </c>
    </row>
    <row r="12" spans="1:7" s="64" customFormat="1" ht="25.5">
      <c r="A12" s="112"/>
      <c r="B12" s="353" t="s">
        <v>197</v>
      </c>
      <c r="C12" s="113"/>
      <c r="D12" s="63" t="s">
        <v>198</v>
      </c>
      <c r="E12" s="114">
        <f>SUM(E13)</f>
        <v>35000</v>
      </c>
      <c r="F12" s="74">
        <f>SUM(F13:F17)</f>
        <v>35000</v>
      </c>
      <c r="G12" s="373">
        <v>0</v>
      </c>
    </row>
    <row r="13" spans="1:7" s="64" customFormat="1" ht="63.75">
      <c r="A13" s="117"/>
      <c r="B13" s="353"/>
      <c r="C13" s="115" t="s">
        <v>199</v>
      </c>
      <c r="D13" s="354" t="s">
        <v>200</v>
      </c>
      <c r="E13" s="116">
        <v>35000</v>
      </c>
      <c r="F13" s="73"/>
      <c r="G13" s="214"/>
    </row>
    <row r="14" spans="1:7" s="64" customFormat="1" ht="12.75">
      <c r="A14" s="117"/>
      <c r="B14" s="348"/>
      <c r="C14" s="355">
        <v>4110</v>
      </c>
      <c r="D14" s="354" t="s">
        <v>333</v>
      </c>
      <c r="E14" s="116"/>
      <c r="F14" s="73">
        <v>500</v>
      </c>
      <c r="G14" s="214"/>
    </row>
    <row r="15" spans="1:7" s="64" customFormat="1" ht="12.75">
      <c r="A15" s="117"/>
      <c r="B15" s="348"/>
      <c r="C15" s="356">
        <v>4120</v>
      </c>
      <c r="D15" s="357" t="s">
        <v>334</v>
      </c>
      <c r="E15" s="114"/>
      <c r="F15" s="73">
        <v>75</v>
      </c>
      <c r="G15" s="214"/>
    </row>
    <row r="16" spans="1:7" s="64" customFormat="1" ht="12.75">
      <c r="A16" s="117"/>
      <c r="B16" s="348"/>
      <c r="C16" s="356">
        <v>4170</v>
      </c>
      <c r="D16" s="357" t="s">
        <v>335</v>
      </c>
      <c r="E16" s="114"/>
      <c r="F16" s="73">
        <v>3000</v>
      </c>
      <c r="G16" s="214"/>
    </row>
    <row r="17" spans="1:7" s="64" customFormat="1" ht="12.75">
      <c r="A17" s="117"/>
      <c r="B17" s="349"/>
      <c r="C17" s="356">
        <v>4300</v>
      </c>
      <c r="D17" s="357" t="s">
        <v>336</v>
      </c>
      <c r="E17" s="114"/>
      <c r="F17" s="73">
        <v>31425</v>
      </c>
      <c r="G17" s="214"/>
    </row>
    <row r="18" spans="1:7" s="64" customFormat="1" ht="12.75">
      <c r="A18" s="117"/>
      <c r="B18" s="353" t="s">
        <v>337</v>
      </c>
      <c r="C18" s="113"/>
      <c r="D18" s="63" t="s">
        <v>338</v>
      </c>
      <c r="E18" s="114">
        <f>SUM(E19)</f>
        <v>0</v>
      </c>
      <c r="F18" s="74">
        <f>SUM(F19)</f>
        <v>0</v>
      </c>
      <c r="G18" s="74">
        <f>SUM(G19)</f>
        <v>4391</v>
      </c>
    </row>
    <row r="19" spans="1:7" s="64" customFormat="1" ht="40.5" customHeight="1">
      <c r="A19" s="118"/>
      <c r="B19" s="113"/>
      <c r="C19" s="113" t="s">
        <v>339</v>
      </c>
      <c r="D19" s="354" t="s">
        <v>340</v>
      </c>
      <c r="E19" s="116"/>
      <c r="F19" s="73"/>
      <c r="G19" s="73">
        <v>4391</v>
      </c>
    </row>
    <row r="20" spans="1:7" s="64" customFormat="1" ht="12.75">
      <c r="A20" s="118" t="s">
        <v>202</v>
      </c>
      <c r="B20" s="118"/>
      <c r="C20" s="113"/>
      <c r="D20" s="63" t="s">
        <v>203</v>
      </c>
      <c r="E20" s="114">
        <f>SUM(E21)</f>
        <v>20000</v>
      </c>
      <c r="F20" s="74">
        <f>SUM(F21)</f>
        <v>20000</v>
      </c>
      <c r="G20" s="74">
        <f>SUM(G21)</f>
        <v>869000</v>
      </c>
    </row>
    <row r="21" spans="1:7" s="64" customFormat="1" ht="25.5">
      <c r="A21" s="112"/>
      <c r="B21" s="113" t="s">
        <v>204</v>
      </c>
      <c r="C21" s="113"/>
      <c r="D21" s="63" t="s">
        <v>205</v>
      </c>
      <c r="E21" s="114">
        <f>SUM(E22:E28)</f>
        <v>20000</v>
      </c>
      <c r="F21" s="114">
        <f>SUM(F22:F28)</f>
        <v>20000</v>
      </c>
      <c r="G21" s="69">
        <f>SUM(G22:G28)</f>
        <v>869000</v>
      </c>
    </row>
    <row r="22" spans="1:7" s="64" customFormat="1" ht="63.75">
      <c r="A22" s="117"/>
      <c r="B22" s="112"/>
      <c r="C22" s="113" t="s">
        <v>199</v>
      </c>
      <c r="D22" s="354" t="s">
        <v>200</v>
      </c>
      <c r="E22" s="119">
        <v>20000</v>
      </c>
      <c r="F22" s="73"/>
      <c r="G22" s="214"/>
    </row>
    <row r="23" spans="1:7" s="64" customFormat="1" ht="12.75">
      <c r="A23" s="117"/>
      <c r="B23" s="117"/>
      <c r="C23" s="113" t="s">
        <v>358</v>
      </c>
      <c r="D23" s="354" t="s">
        <v>359</v>
      </c>
      <c r="E23" s="119"/>
      <c r="F23" s="73">
        <v>8000</v>
      </c>
      <c r="G23" s="214"/>
    </row>
    <row r="24" spans="1:7" s="64" customFormat="1" ht="12.75">
      <c r="A24" s="117"/>
      <c r="B24" s="117"/>
      <c r="C24" s="113" t="s">
        <v>341</v>
      </c>
      <c r="D24" s="354" t="s">
        <v>336</v>
      </c>
      <c r="E24" s="119"/>
      <c r="F24" s="73">
        <v>5000</v>
      </c>
      <c r="G24" s="214"/>
    </row>
    <row r="25" spans="1:7" s="64" customFormat="1" ht="12.75">
      <c r="A25" s="117"/>
      <c r="B25" s="117"/>
      <c r="C25" s="113" t="s">
        <v>342</v>
      </c>
      <c r="D25" s="354" t="s">
        <v>343</v>
      </c>
      <c r="E25" s="119"/>
      <c r="F25" s="73">
        <v>2000</v>
      </c>
      <c r="G25" s="214"/>
    </row>
    <row r="26" spans="1:7" s="64" customFormat="1" ht="12.75">
      <c r="A26" s="117"/>
      <c r="B26" s="117"/>
      <c r="C26" s="113" t="s">
        <v>391</v>
      </c>
      <c r="D26" s="354" t="s">
        <v>425</v>
      </c>
      <c r="E26" s="119"/>
      <c r="F26" s="73">
        <v>2000</v>
      </c>
      <c r="G26" s="214"/>
    </row>
    <row r="27" spans="1:7" s="64" customFormat="1" ht="25.5">
      <c r="A27" s="117"/>
      <c r="B27" s="117"/>
      <c r="C27" s="113" t="s">
        <v>392</v>
      </c>
      <c r="D27" s="345" t="s">
        <v>402</v>
      </c>
      <c r="E27" s="119"/>
      <c r="F27" s="73">
        <v>3000</v>
      </c>
      <c r="G27" s="214"/>
    </row>
    <row r="28" spans="1:7" s="64" customFormat="1" ht="42" customHeight="1">
      <c r="A28" s="117"/>
      <c r="B28" s="118"/>
      <c r="C28" s="113" t="s">
        <v>339</v>
      </c>
      <c r="D28" s="354" t="s">
        <v>340</v>
      </c>
      <c r="E28" s="114"/>
      <c r="F28" s="73"/>
      <c r="G28" s="73">
        <v>869000</v>
      </c>
    </row>
    <row r="29" spans="1:7" s="64" customFormat="1" ht="12.75">
      <c r="A29" s="113" t="s">
        <v>206</v>
      </c>
      <c r="B29" s="113"/>
      <c r="C29" s="113"/>
      <c r="D29" s="63" t="s">
        <v>207</v>
      </c>
      <c r="E29" s="114">
        <f>SUM(E30,E33,E36)</f>
        <v>265253</v>
      </c>
      <c r="F29" s="69">
        <f>SUM(F30,F33,F36)</f>
        <v>265253</v>
      </c>
      <c r="G29" s="69">
        <f>SUM(G30,G33,G36)</f>
        <v>0</v>
      </c>
    </row>
    <row r="30" spans="1:7" s="64" customFormat="1" ht="18" customHeight="1">
      <c r="A30" s="112"/>
      <c r="B30" s="113" t="s">
        <v>208</v>
      </c>
      <c r="C30" s="113"/>
      <c r="D30" s="63" t="s">
        <v>209</v>
      </c>
      <c r="E30" s="114">
        <f>SUM(E31)</f>
        <v>40000</v>
      </c>
      <c r="F30" s="74">
        <f>SUM(F31:F32)</f>
        <v>40000</v>
      </c>
      <c r="G30" s="74">
        <f>SUM(G31:G32)</f>
        <v>0</v>
      </c>
    </row>
    <row r="31" spans="1:7" s="64" customFormat="1" ht="63.75">
      <c r="A31" s="117"/>
      <c r="B31" s="112"/>
      <c r="C31" s="113" t="s">
        <v>199</v>
      </c>
      <c r="D31" s="354" t="s">
        <v>200</v>
      </c>
      <c r="E31" s="116">
        <v>40000</v>
      </c>
      <c r="F31" s="73"/>
      <c r="G31" s="214"/>
    </row>
    <row r="32" spans="1:7" s="64" customFormat="1" ht="12.75">
      <c r="A32" s="117"/>
      <c r="B32" s="118"/>
      <c r="C32" s="113" t="s">
        <v>341</v>
      </c>
      <c r="D32" s="354" t="s">
        <v>336</v>
      </c>
      <c r="E32" s="114"/>
      <c r="F32" s="73">
        <v>40000</v>
      </c>
      <c r="G32" s="214"/>
    </row>
    <row r="33" spans="1:7" s="64" customFormat="1" ht="25.5">
      <c r="A33" s="117"/>
      <c r="B33" s="113" t="s">
        <v>210</v>
      </c>
      <c r="C33" s="113"/>
      <c r="D33" s="63" t="s">
        <v>211</v>
      </c>
      <c r="E33" s="114">
        <f>SUM(E34)</f>
        <v>9000</v>
      </c>
      <c r="F33" s="74">
        <f>SUM(F34:F35)</f>
        <v>9000</v>
      </c>
      <c r="G33" s="74">
        <f>SUM(G34:G35)</f>
        <v>0</v>
      </c>
    </row>
    <row r="34" spans="1:7" s="64" customFormat="1" ht="63.75">
      <c r="A34" s="117"/>
      <c r="B34" s="112"/>
      <c r="C34" s="113" t="s">
        <v>199</v>
      </c>
      <c r="D34" s="354" t="s">
        <v>200</v>
      </c>
      <c r="E34" s="119">
        <v>9000</v>
      </c>
      <c r="F34" s="73"/>
      <c r="G34" s="214"/>
    </row>
    <row r="35" spans="1:7" s="64" customFormat="1" ht="12.75">
      <c r="A35" s="118"/>
      <c r="B35" s="118"/>
      <c r="C35" s="113" t="s">
        <v>341</v>
      </c>
      <c r="D35" s="354" t="s">
        <v>336</v>
      </c>
      <c r="E35" s="119"/>
      <c r="F35" s="73">
        <v>9000</v>
      </c>
      <c r="G35" s="214"/>
    </row>
    <row r="36" spans="1:7" s="64" customFormat="1" ht="12.75">
      <c r="A36" s="113" t="s">
        <v>206</v>
      </c>
      <c r="B36" s="113" t="s">
        <v>212</v>
      </c>
      <c r="C36" s="113"/>
      <c r="D36" s="63" t="s">
        <v>213</v>
      </c>
      <c r="E36" s="114">
        <f>SUM(E37:E52)</f>
        <v>216253</v>
      </c>
      <c r="F36" s="114">
        <f>SUM(F38:F55)</f>
        <v>216253</v>
      </c>
      <c r="G36" s="69">
        <f>SUM(G37:G52)</f>
        <v>0</v>
      </c>
    </row>
    <row r="37" spans="1:7" s="64" customFormat="1" ht="63.75">
      <c r="A37" s="358"/>
      <c r="B37" s="112"/>
      <c r="C37" s="349" t="s">
        <v>199</v>
      </c>
      <c r="D37" s="347" t="s">
        <v>200</v>
      </c>
      <c r="E37" s="119">
        <v>216253</v>
      </c>
      <c r="F37" s="73"/>
      <c r="G37" s="214"/>
    </row>
    <row r="38" spans="1:7" s="64" customFormat="1" ht="12.75" customHeight="1">
      <c r="A38" s="359"/>
      <c r="B38" s="117"/>
      <c r="C38" s="115" t="s">
        <v>344</v>
      </c>
      <c r="D38" s="354" t="s">
        <v>345</v>
      </c>
      <c r="E38" s="119"/>
      <c r="F38" s="73">
        <v>51300</v>
      </c>
      <c r="G38" s="214"/>
    </row>
    <row r="39" spans="1:7" s="64" customFormat="1" ht="25.5">
      <c r="A39" s="359"/>
      <c r="B39" s="117"/>
      <c r="C39" s="115" t="s">
        <v>346</v>
      </c>
      <c r="D39" s="354" t="s">
        <v>347</v>
      </c>
      <c r="E39" s="119"/>
      <c r="F39" s="73">
        <v>78400</v>
      </c>
      <c r="G39" s="214"/>
    </row>
    <row r="40" spans="1:7" s="64" customFormat="1" ht="12.75">
      <c r="A40" s="360"/>
      <c r="B40" s="361"/>
      <c r="C40" s="115" t="s">
        <v>348</v>
      </c>
      <c r="D40" s="354" t="s">
        <v>349</v>
      </c>
      <c r="E40" s="119"/>
      <c r="F40" s="73">
        <v>9900</v>
      </c>
      <c r="G40" s="214"/>
    </row>
    <row r="41" spans="1:7" s="64" customFormat="1" ht="12.75">
      <c r="A41" s="359"/>
      <c r="B41" s="117"/>
      <c r="C41" s="115" t="s">
        <v>350</v>
      </c>
      <c r="D41" s="354" t="s">
        <v>351</v>
      </c>
      <c r="E41" s="119"/>
      <c r="F41" s="73">
        <v>25200</v>
      </c>
      <c r="G41" s="214"/>
    </row>
    <row r="42" spans="1:7" s="64" customFormat="1" ht="12.75">
      <c r="A42" s="359"/>
      <c r="B42" s="117"/>
      <c r="C42" s="115" t="s">
        <v>352</v>
      </c>
      <c r="D42" s="354" t="s">
        <v>334</v>
      </c>
      <c r="E42" s="119"/>
      <c r="F42" s="73">
        <v>3500</v>
      </c>
      <c r="G42" s="214"/>
    </row>
    <row r="43" spans="1:7" s="64" customFormat="1" ht="12.75">
      <c r="A43" s="359"/>
      <c r="B43" s="117"/>
      <c r="C43" s="115" t="s">
        <v>353</v>
      </c>
      <c r="D43" s="354" t="s">
        <v>335</v>
      </c>
      <c r="E43" s="119"/>
      <c r="F43" s="73">
        <v>3000</v>
      </c>
      <c r="G43" s="214"/>
    </row>
    <row r="44" spans="1:7" s="64" customFormat="1" ht="12.75">
      <c r="A44" s="360"/>
      <c r="B44" s="361"/>
      <c r="C44" s="115" t="s">
        <v>354</v>
      </c>
      <c r="D44" s="354" t="s">
        <v>355</v>
      </c>
      <c r="E44" s="119"/>
      <c r="F44" s="73">
        <v>5813</v>
      </c>
      <c r="G44" s="214"/>
    </row>
    <row r="45" spans="1:7" s="64" customFormat="1" ht="12.75">
      <c r="A45" s="360"/>
      <c r="B45" s="361"/>
      <c r="C45" s="115" t="s">
        <v>356</v>
      </c>
      <c r="D45" s="354" t="s">
        <v>357</v>
      </c>
      <c r="E45" s="119"/>
      <c r="F45" s="73">
        <v>0</v>
      </c>
      <c r="G45" s="214"/>
    </row>
    <row r="46" spans="1:7" s="64" customFormat="1" ht="12.75">
      <c r="A46" s="360"/>
      <c r="B46" s="361"/>
      <c r="C46" s="115" t="s">
        <v>358</v>
      </c>
      <c r="D46" s="354" t="s">
        <v>359</v>
      </c>
      <c r="E46" s="119"/>
      <c r="F46" s="73">
        <v>3000</v>
      </c>
      <c r="G46" s="214"/>
    </row>
    <row r="47" spans="1:7" s="64" customFormat="1" ht="12.75">
      <c r="A47" s="360"/>
      <c r="B47" s="361"/>
      <c r="C47" s="115" t="s">
        <v>377</v>
      </c>
      <c r="D47" s="354" t="s">
        <v>378</v>
      </c>
      <c r="E47" s="119"/>
      <c r="F47" s="73">
        <v>105</v>
      </c>
      <c r="G47" s="214"/>
    </row>
    <row r="48" spans="1:7" s="64" customFormat="1" ht="12.75">
      <c r="A48" s="359"/>
      <c r="B48" s="117"/>
      <c r="C48" s="115" t="s">
        <v>341</v>
      </c>
      <c r="D48" s="354" t="s">
        <v>336</v>
      </c>
      <c r="E48" s="119"/>
      <c r="F48" s="73">
        <v>22375</v>
      </c>
      <c r="G48" s="214"/>
    </row>
    <row r="49" spans="1:7" s="64" customFormat="1" ht="25.5" customHeight="1">
      <c r="A49" s="359"/>
      <c r="B49" s="117"/>
      <c r="C49" s="115" t="s">
        <v>393</v>
      </c>
      <c r="D49" s="354" t="s">
        <v>398</v>
      </c>
      <c r="E49" s="119"/>
      <c r="F49" s="73">
        <v>4500</v>
      </c>
      <c r="G49" s="214"/>
    </row>
    <row r="50" spans="1:7" s="64" customFormat="1" ht="12.75">
      <c r="A50" s="359"/>
      <c r="B50" s="117"/>
      <c r="C50" s="115" t="s">
        <v>360</v>
      </c>
      <c r="D50" s="354" t="s">
        <v>361</v>
      </c>
      <c r="E50" s="119"/>
      <c r="F50" s="73">
        <v>500</v>
      </c>
      <c r="G50" s="214"/>
    </row>
    <row r="51" spans="1:7" s="64" customFormat="1" ht="12.75">
      <c r="A51" s="359"/>
      <c r="B51" s="117"/>
      <c r="C51" s="115" t="s">
        <v>342</v>
      </c>
      <c r="D51" s="354" t="s">
        <v>362</v>
      </c>
      <c r="E51" s="119"/>
      <c r="F51" s="73">
        <v>2000</v>
      </c>
      <c r="G51" s="214"/>
    </row>
    <row r="52" spans="1:7" s="64" customFormat="1" ht="25.5">
      <c r="A52" s="359"/>
      <c r="B52" s="117"/>
      <c r="C52" s="115" t="s">
        <v>363</v>
      </c>
      <c r="D52" s="354" t="s">
        <v>364</v>
      </c>
      <c r="E52" s="119"/>
      <c r="F52" s="73">
        <v>3600</v>
      </c>
      <c r="G52" s="214"/>
    </row>
    <row r="53" spans="1:7" s="64" customFormat="1" ht="25.5">
      <c r="A53" s="359"/>
      <c r="B53" s="117"/>
      <c r="C53" s="115" t="s">
        <v>423</v>
      </c>
      <c r="D53" s="354" t="s">
        <v>424</v>
      </c>
      <c r="E53" s="119"/>
      <c r="F53" s="73">
        <v>60</v>
      </c>
      <c r="G53" s="214"/>
    </row>
    <row r="54" spans="1:7" s="64" customFormat="1" ht="38.25">
      <c r="A54" s="359"/>
      <c r="B54" s="117"/>
      <c r="C54" s="115" t="s">
        <v>395</v>
      </c>
      <c r="D54" s="354" t="s">
        <v>400</v>
      </c>
      <c r="E54" s="119"/>
      <c r="F54" s="73">
        <v>1000</v>
      </c>
      <c r="G54" s="214"/>
    </row>
    <row r="55" spans="1:7" s="64" customFormat="1" ht="25.5">
      <c r="A55" s="359"/>
      <c r="B55" s="117"/>
      <c r="C55" s="115" t="s">
        <v>392</v>
      </c>
      <c r="D55" s="354" t="s">
        <v>402</v>
      </c>
      <c r="E55" s="119"/>
      <c r="F55" s="73">
        <v>2000</v>
      </c>
      <c r="G55" s="214"/>
    </row>
    <row r="56" spans="1:7" s="64" customFormat="1" ht="12.75">
      <c r="A56" s="113" t="s">
        <v>214</v>
      </c>
      <c r="B56" s="113"/>
      <c r="C56" s="113"/>
      <c r="D56" s="63" t="s">
        <v>215</v>
      </c>
      <c r="E56" s="114">
        <f>SUM(E57,E61)</f>
        <v>232542</v>
      </c>
      <c r="F56" s="69">
        <f>SUM(F57,F61)</f>
        <v>232542</v>
      </c>
      <c r="G56" s="69">
        <f>SUM(G57,G61)</f>
        <v>0</v>
      </c>
    </row>
    <row r="57" spans="1:7" s="64" customFormat="1" ht="12.75">
      <c r="A57" s="112"/>
      <c r="B57" s="113" t="s">
        <v>216</v>
      </c>
      <c r="C57" s="113"/>
      <c r="D57" s="63" t="s">
        <v>217</v>
      </c>
      <c r="E57" s="114">
        <f>SUM(E58)</f>
        <v>204542</v>
      </c>
      <c r="F57" s="74">
        <f>SUM(F59:F60)</f>
        <v>204542</v>
      </c>
      <c r="G57" s="74">
        <f>SUM(G59:G60)</f>
        <v>0</v>
      </c>
    </row>
    <row r="58" spans="1:7" s="64" customFormat="1" ht="63.75">
      <c r="A58" s="117"/>
      <c r="B58" s="112"/>
      <c r="C58" s="113" t="s">
        <v>199</v>
      </c>
      <c r="D58" s="354" t="s">
        <v>200</v>
      </c>
      <c r="E58" s="116">
        <v>204542</v>
      </c>
      <c r="F58" s="73"/>
      <c r="G58" s="214"/>
    </row>
    <row r="59" spans="1:7" s="64" customFormat="1" ht="13.5" customHeight="1">
      <c r="A59" s="117"/>
      <c r="B59" s="117"/>
      <c r="C59" s="113" t="s">
        <v>344</v>
      </c>
      <c r="D59" s="354" t="s">
        <v>345</v>
      </c>
      <c r="E59" s="114"/>
      <c r="F59" s="73">
        <v>179867</v>
      </c>
      <c r="G59" s="214"/>
    </row>
    <row r="60" spans="1:7" s="64" customFormat="1" ht="12.75">
      <c r="A60" s="117"/>
      <c r="B60" s="117"/>
      <c r="C60" s="113" t="s">
        <v>350</v>
      </c>
      <c r="D60" s="354" t="s">
        <v>351</v>
      </c>
      <c r="E60" s="114"/>
      <c r="F60" s="73">
        <v>24675</v>
      </c>
      <c r="G60" s="214"/>
    </row>
    <row r="61" spans="1:7" s="64" customFormat="1" ht="12.75">
      <c r="A61" s="117"/>
      <c r="B61" s="113" t="s">
        <v>218</v>
      </c>
      <c r="C61" s="113"/>
      <c r="D61" s="63" t="s">
        <v>219</v>
      </c>
      <c r="E61" s="114">
        <f>SUM(E62)</f>
        <v>28000</v>
      </c>
      <c r="F61" s="74">
        <f>SUM(F63:F70)</f>
        <v>28000</v>
      </c>
      <c r="G61" s="74">
        <f>SUM(G62:G67)</f>
        <v>0</v>
      </c>
    </row>
    <row r="62" spans="1:7" s="64" customFormat="1" ht="63.75">
      <c r="A62" s="117"/>
      <c r="B62" s="112"/>
      <c r="C62" s="113" t="s">
        <v>199</v>
      </c>
      <c r="D62" s="354" t="s">
        <v>200</v>
      </c>
      <c r="E62" s="119">
        <v>28000</v>
      </c>
      <c r="F62" s="73"/>
      <c r="G62" s="214"/>
    </row>
    <row r="63" spans="1:7" s="64" customFormat="1" ht="12.75">
      <c r="A63" s="117"/>
      <c r="B63" s="117"/>
      <c r="C63" s="113" t="s">
        <v>350</v>
      </c>
      <c r="D63" s="354" t="s">
        <v>351</v>
      </c>
      <c r="E63" s="119"/>
      <c r="F63" s="73">
        <v>1495</v>
      </c>
      <c r="G63" s="214"/>
    </row>
    <row r="64" spans="1:7" s="64" customFormat="1" ht="12.75">
      <c r="A64" s="117"/>
      <c r="B64" s="117"/>
      <c r="C64" s="113" t="s">
        <v>352</v>
      </c>
      <c r="D64" s="354" t="s">
        <v>334</v>
      </c>
      <c r="E64" s="119"/>
      <c r="F64" s="73">
        <v>47</v>
      </c>
      <c r="G64" s="214"/>
    </row>
    <row r="65" spans="1:7" s="64" customFormat="1" ht="12.75">
      <c r="A65" s="117"/>
      <c r="B65" s="117"/>
      <c r="C65" s="113" t="s">
        <v>353</v>
      </c>
      <c r="D65" s="345" t="s">
        <v>335</v>
      </c>
      <c r="E65" s="119"/>
      <c r="F65" s="73">
        <v>11150</v>
      </c>
      <c r="G65" s="214"/>
    </row>
    <row r="66" spans="1:7" s="64" customFormat="1" ht="12.75">
      <c r="A66" s="117"/>
      <c r="B66" s="117"/>
      <c r="C66" s="113" t="s">
        <v>354</v>
      </c>
      <c r="D66" s="354" t="s">
        <v>355</v>
      </c>
      <c r="E66" s="119"/>
      <c r="F66" s="73">
        <v>4905</v>
      </c>
      <c r="G66" s="214"/>
    </row>
    <row r="67" spans="1:7" s="64" customFormat="1" ht="12.75">
      <c r="A67" s="117"/>
      <c r="B67" s="117"/>
      <c r="C67" s="118" t="s">
        <v>341</v>
      </c>
      <c r="D67" s="354" t="s">
        <v>336</v>
      </c>
      <c r="E67" s="119"/>
      <c r="F67" s="73">
        <v>6032</v>
      </c>
      <c r="G67" s="214"/>
    </row>
    <row r="68" spans="1:7" s="64" customFormat="1" ht="25.5" customHeight="1">
      <c r="A68" s="117"/>
      <c r="B68" s="117"/>
      <c r="C68" s="113" t="s">
        <v>393</v>
      </c>
      <c r="D68" s="368" t="s">
        <v>398</v>
      </c>
      <c r="E68" s="119"/>
      <c r="F68" s="73">
        <v>82</v>
      </c>
      <c r="G68" s="214"/>
    </row>
    <row r="69" spans="1:7" s="64" customFormat="1" ht="25.5">
      <c r="A69" s="118"/>
      <c r="B69" s="118"/>
      <c r="C69" s="113" t="s">
        <v>394</v>
      </c>
      <c r="D69" s="369" t="s">
        <v>399</v>
      </c>
      <c r="E69" s="119"/>
      <c r="F69" s="73">
        <v>4112</v>
      </c>
      <c r="G69" s="214"/>
    </row>
    <row r="70" spans="1:7" s="64" customFormat="1" ht="38.25">
      <c r="A70" s="113" t="s">
        <v>214</v>
      </c>
      <c r="B70" s="113" t="s">
        <v>218</v>
      </c>
      <c r="C70" s="113" t="s">
        <v>395</v>
      </c>
      <c r="D70" s="369" t="s">
        <v>400</v>
      </c>
      <c r="E70" s="114"/>
      <c r="F70" s="73">
        <v>177</v>
      </c>
      <c r="G70" s="214"/>
    </row>
    <row r="71" spans="1:7" s="64" customFormat="1" ht="25.5">
      <c r="A71" s="112" t="s">
        <v>220</v>
      </c>
      <c r="B71" s="112"/>
      <c r="C71" s="113"/>
      <c r="D71" s="63" t="s">
        <v>221</v>
      </c>
      <c r="E71" s="114">
        <f>SUM(E72,E101)</f>
        <v>2426815</v>
      </c>
      <c r="F71" s="114">
        <f>SUM(F72,F101)</f>
        <v>2426815</v>
      </c>
      <c r="G71" s="69">
        <f>G72</f>
        <v>5000</v>
      </c>
    </row>
    <row r="72" spans="1:7" s="64" customFormat="1" ht="25.5">
      <c r="A72" s="112"/>
      <c r="B72" s="353" t="s">
        <v>222</v>
      </c>
      <c r="C72" s="115"/>
      <c r="D72" s="63" t="s">
        <v>223</v>
      </c>
      <c r="E72" s="114">
        <f>SUM(E73:E73)</f>
        <v>2423815</v>
      </c>
      <c r="F72" s="69">
        <f>SUM(F74:F100)</f>
        <v>2423815</v>
      </c>
      <c r="G72" s="74">
        <f>SUM(G73:G100)</f>
        <v>5000</v>
      </c>
    </row>
    <row r="73" spans="1:7" s="64" customFormat="1" ht="63.75">
      <c r="A73" s="359"/>
      <c r="B73" s="112"/>
      <c r="C73" s="115" t="s">
        <v>199</v>
      </c>
      <c r="D73" s="354" t="s">
        <v>200</v>
      </c>
      <c r="E73" s="73">
        <f>2240000+35000+148815</f>
        <v>2423815</v>
      </c>
      <c r="F73" s="73"/>
      <c r="G73" s="374"/>
    </row>
    <row r="74" spans="1:7" s="64" customFormat="1" ht="38.25">
      <c r="A74" s="359"/>
      <c r="B74" s="117"/>
      <c r="C74" s="349" t="s">
        <v>365</v>
      </c>
      <c r="D74" s="347" t="s">
        <v>366</v>
      </c>
      <c r="E74" s="364"/>
      <c r="F74" s="362">
        <v>131000</v>
      </c>
      <c r="G74" s="376"/>
    </row>
    <row r="75" spans="1:7" s="64" customFormat="1" ht="15.75" customHeight="1">
      <c r="A75" s="359"/>
      <c r="B75" s="117"/>
      <c r="C75" s="115" t="s">
        <v>344</v>
      </c>
      <c r="D75" s="354" t="s">
        <v>345</v>
      </c>
      <c r="E75" s="119"/>
      <c r="F75" s="73">
        <v>18000</v>
      </c>
      <c r="G75" s="374"/>
    </row>
    <row r="76" spans="1:7" s="64" customFormat="1" ht="12.75">
      <c r="A76" s="359"/>
      <c r="B76" s="117"/>
      <c r="C76" s="115" t="s">
        <v>348</v>
      </c>
      <c r="D76" s="354" t="s">
        <v>349</v>
      </c>
      <c r="E76" s="119"/>
      <c r="F76" s="73">
        <v>2000</v>
      </c>
      <c r="G76" s="374"/>
    </row>
    <row r="77" spans="1:7" s="64" customFormat="1" ht="27" customHeight="1">
      <c r="A77" s="359"/>
      <c r="B77" s="117"/>
      <c r="C77" s="115" t="s">
        <v>367</v>
      </c>
      <c r="D77" s="354" t="s">
        <v>368</v>
      </c>
      <c r="E77" s="119"/>
      <c r="F77" s="73">
        <f>1462000+130732</f>
        <v>1592732</v>
      </c>
      <c r="G77" s="374"/>
    </row>
    <row r="78" spans="1:7" s="64" customFormat="1" ht="38.25">
      <c r="A78" s="359"/>
      <c r="B78" s="117"/>
      <c r="C78" s="115" t="s">
        <v>369</v>
      </c>
      <c r="D78" s="354" t="s">
        <v>370</v>
      </c>
      <c r="E78" s="119"/>
      <c r="F78" s="73">
        <v>121563</v>
      </c>
      <c r="G78" s="374"/>
    </row>
    <row r="79" spans="1:7" s="64" customFormat="1" ht="38.25">
      <c r="A79" s="359"/>
      <c r="B79" s="117"/>
      <c r="C79" s="115" t="s">
        <v>371</v>
      </c>
      <c r="D79" s="354" t="s">
        <v>372</v>
      </c>
      <c r="E79" s="119"/>
      <c r="F79" s="73">
        <v>119985</v>
      </c>
      <c r="G79" s="374"/>
    </row>
    <row r="80" spans="1:7" s="64" customFormat="1" ht="51">
      <c r="A80" s="359"/>
      <c r="B80" s="117"/>
      <c r="C80" s="115" t="s">
        <v>396</v>
      </c>
      <c r="D80" s="345" t="s">
        <v>403</v>
      </c>
      <c r="E80" s="119"/>
      <c r="F80" s="73">
        <v>47535</v>
      </c>
      <c r="G80" s="374"/>
    </row>
    <row r="81" spans="1:7" s="64" customFormat="1" ht="12.75">
      <c r="A81" s="359"/>
      <c r="B81" s="117"/>
      <c r="C81" s="115" t="s">
        <v>350</v>
      </c>
      <c r="D81" s="354" t="s">
        <v>351</v>
      </c>
      <c r="E81" s="119"/>
      <c r="F81" s="73">
        <v>3500</v>
      </c>
      <c r="G81" s="374"/>
    </row>
    <row r="82" spans="1:7" s="64" customFormat="1" ht="12.75">
      <c r="A82" s="359"/>
      <c r="B82" s="117"/>
      <c r="C82" s="115" t="s">
        <v>352</v>
      </c>
      <c r="D82" s="354" t="s">
        <v>334</v>
      </c>
      <c r="E82" s="119"/>
      <c r="F82" s="73">
        <v>500</v>
      </c>
      <c r="G82" s="374"/>
    </row>
    <row r="83" spans="1:7" s="64" customFormat="1" ht="26.25" customHeight="1">
      <c r="A83" s="359"/>
      <c r="B83" s="117"/>
      <c r="C83" s="115" t="s">
        <v>373</v>
      </c>
      <c r="D83" s="354" t="s">
        <v>374</v>
      </c>
      <c r="E83" s="119"/>
      <c r="F83" s="73">
        <v>86260</v>
      </c>
      <c r="G83" s="374"/>
    </row>
    <row r="84" spans="1:7" s="64" customFormat="1" ht="12.75">
      <c r="A84" s="359"/>
      <c r="B84" s="117"/>
      <c r="C84" s="115" t="s">
        <v>354</v>
      </c>
      <c r="D84" s="354" t="s">
        <v>355</v>
      </c>
      <c r="E84" s="119"/>
      <c r="F84" s="73">
        <v>144014</v>
      </c>
      <c r="G84" s="374"/>
    </row>
    <row r="85" spans="1:7" s="64" customFormat="1" ht="12.75">
      <c r="A85" s="360"/>
      <c r="B85" s="361"/>
      <c r="C85" s="115" t="s">
        <v>375</v>
      </c>
      <c r="D85" s="354" t="s">
        <v>376</v>
      </c>
      <c r="E85" s="119"/>
      <c r="F85" s="73">
        <v>1000</v>
      </c>
      <c r="G85" s="374"/>
    </row>
    <row r="86" spans="1:7" s="64" customFormat="1" ht="12.75">
      <c r="A86" s="359"/>
      <c r="B86" s="117"/>
      <c r="C86" s="115" t="s">
        <v>356</v>
      </c>
      <c r="D86" s="354" t="s">
        <v>357</v>
      </c>
      <c r="E86" s="119"/>
      <c r="F86" s="73">
        <v>43000</v>
      </c>
      <c r="G86" s="374"/>
    </row>
    <row r="87" spans="1:7" s="64" customFormat="1" ht="12.75">
      <c r="A87" s="359"/>
      <c r="B87" s="117"/>
      <c r="C87" s="115" t="s">
        <v>358</v>
      </c>
      <c r="D87" s="354" t="s">
        <v>359</v>
      </c>
      <c r="E87" s="119"/>
      <c r="F87" s="73">
        <v>24000</v>
      </c>
      <c r="G87" s="374"/>
    </row>
    <row r="88" spans="1:7" s="64" customFormat="1" ht="12.75">
      <c r="A88" s="359"/>
      <c r="B88" s="117"/>
      <c r="C88" s="115" t="s">
        <v>377</v>
      </c>
      <c r="D88" s="354" t="s">
        <v>378</v>
      </c>
      <c r="E88" s="119"/>
      <c r="F88" s="73">
        <v>14987</v>
      </c>
      <c r="G88" s="374"/>
    </row>
    <row r="89" spans="1:7" s="64" customFormat="1" ht="12.75">
      <c r="A89" s="359"/>
      <c r="B89" s="117"/>
      <c r="C89" s="115" t="s">
        <v>341</v>
      </c>
      <c r="D89" s="354" t="s">
        <v>336</v>
      </c>
      <c r="E89" s="119"/>
      <c r="F89" s="73">
        <v>27000</v>
      </c>
      <c r="G89" s="374"/>
    </row>
    <row r="90" spans="1:7" s="64" customFormat="1" ht="18" customHeight="1">
      <c r="A90" s="359"/>
      <c r="B90" s="117"/>
      <c r="C90" s="115" t="s">
        <v>388</v>
      </c>
      <c r="D90" s="369" t="s">
        <v>389</v>
      </c>
      <c r="E90" s="119"/>
      <c r="F90" s="73">
        <v>5000</v>
      </c>
      <c r="G90" s="374"/>
    </row>
    <row r="91" spans="1:7" s="64" customFormat="1" ht="38.25">
      <c r="A91" s="359"/>
      <c r="B91" s="117"/>
      <c r="C91" s="115" t="s">
        <v>397</v>
      </c>
      <c r="D91" s="369" t="s">
        <v>401</v>
      </c>
      <c r="E91" s="119"/>
      <c r="F91" s="73">
        <v>10000</v>
      </c>
      <c r="G91" s="374"/>
    </row>
    <row r="92" spans="1:7" s="64" customFormat="1" ht="25.5" customHeight="1">
      <c r="A92" s="359"/>
      <c r="B92" s="117"/>
      <c r="C92" s="115" t="s">
        <v>393</v>
      </c>
      <c r="D92" s="369" t="s">
        <v>398</v>
      </c>
      <c r="E92" s="119"/>
      <c r="F92" s="73">
        <v>12000</v>
      </c>
      <c r="G92" s="374"/>
    </row>
    <row r="93" spans="1:7" s="64" customFormat="1" ht="12.75">
      <c r="A93" s="359"/>
      <c r="B93" s="117"/>
      <c r="C93" s="115" t="s">
        <v>360</v>
      </c>
      <c r="D93" s="354" t="s">
        <v>361</v>
      </c>
      <c r="E93" s="119"/>
      <c r="F93" s="73">
        <v>4000</v>
      </c>
      <c r="G93" s="374"/>
    </row>
    <row r="94" spans="1:7" s="64" customFormat="1" ht="12.75">
      <c r="A94" s="360"/>
      <c r="B94" s="361"/>
      <c r="C94" s="115" t="s">
        <v>342</v>
      </c>
      <c r="D94" s="354" t="s">
        <v>343</v>
      </c>
      <c r="E94" s="119"/>
      <c r="F94" s="73">
        <v>3000</v>
      </c>
      <c r="G94" s="374"/>
    </row>
    <row r="95" spans="1:7" s="64" customFormat="1" ht="25.5">
      <c r="A95" s="359"/>
      <c r="B95" s="117"/>
      <c r="C95" s="115" t="s">
        <v>363</v>
      </c>
      <c r="D95" s="354" t="s">
        <v>364</v>
      </c>
      <c r="E95" s="119"/>
      <c r="F95" s="73">
        <v>805</v>
      </c>
      <c r="G95" s="374"/>
    </row>
    <row r="96" spans="1:7" s="64" customFormat="1" ht="27.75" customHeight="1">
      <c r="A96" s="359"/>
      <c r="B96" s="117"/>
      <c r="C96" s="115" t="s">
        <v>379</v>
      </c>
      <c r="D96" s="354" t="s">
        <v>380</v>
      </c>
      <c r="E96" s="119"/>
      <c r="F96" s="73">
        <v>4707</v>
      </c>
      <c r="G96" s="374"/>
    </row>
    <row r="97" spans="1:7" s="64" customFormat="1" ht="12.75">
      <c r="A97" s="359"/>
      <c r="B97" s="117"/>
      <c r="C97" s="115" t="s">
        <v>381</v>
      </c>
      <c r="D97" s="354" t="s">
        <v>382</v>
      </c>
      <c r="E97" s="119"/>
      <c r="F97" s="73">
        <v>225</v>
      </c>
      <c r="G97" s="374"/>
    </row>
    <row r="98" spans="1:7" s="64" customFormat="1" ht="38.25">
      <c r="A98" s="363"/>
      <c r="B98" s="118"/>
      <c r="C98" s="349" t="s">
        <v>395</v>
      </c>
      <c r="D98" s="369" t="s">
        <v>400</v>
      </c>
      <c r="E98" s="119"/>
      <c r="F98" s="73">
        <v>3000</v>
      </c>
      <c r="G98" s="374"/>
    </row>
    <row r="99" spans="1:7" s="64" customFormat="1" ht="24">
      <c r="A99" s="377" t="s">
        <v>220</v>
      </c>
      <c r="B99" s="113" t="s">
        <v>222</v>
      </c>
      <c r="C99" s="115" t="s">
        <v>392</v>
      </c>
      <c r="D99" s="72" t="s">
        <v>402</v>
      </c>
      <c r="E99" s="119"/>
      <c r="F99" s="73">
        <v>4002</v>
      </c>
      <c r="G99" s="374"/>
    </row>
    <row r="100" spans="1:7" s="64" customFormat="1" ht="41.25" customHeight="1">
      <c r="A100" s="112"/>
      <c r="B100" s="115"/>
      <c r="C100" s="115" t="s">
        <v>339</v>
      </c>
      <c r="D100" s="261" t="s">
        <v>340</v>
      </c>
      <c r="E100" s="119"/>
      <c r="F100" s="73"/>
      <c r="G100" s="73">
        <v>5000</v>
      </c>
    </row>
    <row r="101" spans="1:7" s="64" customFormat="1" ht="12.75">
      <c r="A101" s="117"/>
      <c r="B101" s="353" t="s">
        <v>224</v>
      </c>
      <c r="C101" s="113"/>
      <c r="D101" s="367" t="s">
        <v>225</v>
      </c>
      <c r="E101" s="114">
        <f>SUM(E102:E102)</f>
        <v>3000</v>
      </c>
      <c r="F101" s="74">
        <f>SUM(F103:F103)</f>
        <v>3000</v>
      </c>
      <c r="G101" s="74">
        <f>SUM(G103:G103)</f>
        <v>0</v>
      </c>
    </row>
    <row r="102" spans="1:7" s="64" customFormat="1" ht="60">
      <c r="A102" s="359"/>
      <c r="B102" s="112"/>
      <c r="C102" s="115" t="s">
        <v>199</v>
      </c>
      <c r="D102" s="261" t="s">
        <v>200</v>
      </c>
      <c r="E102" s="119">
        <v>3000</v>
      </c>
      <c r="F102" s="73"/>
      <c r="G102" s="214"/>
    </row>
    <row r="103" spans="1:7" s="64" customFormat="1" ht="12.75">
      <c r="A103" s="363"/>
      <c r="B103" s="118"/>
      <c r="C103" s="115" t="s">
        <v>354</v>
      </c>
      <c r="D103" s="261" t="s">
        <v>355</v>
      </c>
      <c r="E103" s="119"/>
      <c r="F103" s="73">
        <v>3000</v>
      </c>
      <c r="G103" s="214"/>
    </row>
    <row r="104" spans="1:7" s="64" customFormat="1" ht="15.75" customHeight="1">
      <c r="A104" s="118" t="s">
        <v>226</v>
      </c>
      <c r="B104" s="118"/>
      <c r="C104" s="113"/>
      <c r="D104" s="63" t="s">
        <v>227</v>
      </c>
      <c r="E104" s="114">
        <f>SUM(E105)</f>
        <v>1318061</v>
      </c>
      <c r="F104" s="114">
        <f>SUM(F105)</f>
        <v>1318061</v>
      </c>
      <c r="G104" s="69">
        <f>G105</f>
        <v>0</v>
      </c>
    </row>
    <row r="105" spans="1:7" s="64" customFormat="1" ht="51">
      <c r="A105" s="117"/>
      <c r="B105" s="348" t="s">
        <v>228</v>
      </c>
      <c r="C105" s="118"/>
      <c r="D105" s="378" t="s">
        <v>229</v>
      </c>
      <c r="E105" s="284">
        <f>SUM(E106:E106)</f>
        <v>1318061</v>
      </c>
      <c r="F105" s="379">
        <f>SUM(F107:F107)</f>
        <v>1318061</v>
      </c>
      <c r="G105" s="379">
        <f>SUM(G107:G107)</f>
        <v>0</v>
      </c>
    </row>
    <row r="106" spans="1:7" s="64" customFormat="1" ht="60">
      <c r="A106" s="117"/>
      <c r="B106" s="353"/>
      <c r="C106" s="349" t="s">
        <v>199</v>
      </c>
      <c r="D106" s="420" t="s">
        <v>200</v>
      </c>
      <c r="E106" s="364">
        <v>1318061</v>
      </c>
      <c r="F106" s="362"/>
      <c r="G106" s="372"/>
    </row>
    <row r="107" spans="1:7" s="64" customFormat="1" ht="12.75">
      <c r="A107" s="118"/>
      <c r="B107" s="349"/>
      <c r="C107" s="115" t="s">
        <v>383</v>
      </c>
      <c r="D107" s="261" t="s">
        <v>384</v>
      </c>
      <c r="E107" s="119"/>
      <c r="F107" s="73">
        <v>1318061</v>
      </c>
      <c r="G107" s="214"/>
    </row>
    <row r="108" spans="1:7" s="64" customFormat="1" ht="14.25" customHeight="1">
      <c r="A108" s="117">
        <v>852</v>
      </c>
      <c r="B108" s="115"/>
      <c r="C108" s="113"/>
      <c r="D108" s="63" t="s">
        <v>236</v>
      </c>
      <c r="E108" s="114">
        <f>SUM(E109)</f>
        <v>387900</v>
      </c>
      <c r="F108" s="114">
        <f>SUM(F109)</f>
        <v>387900</v>
      </c>
      <c r="G108" s="69">
        <f>SUM(G109)</f>
        <v>0</v>
      </c>
    </row>
    <row r="109" spans="1:7" s="64" customFormat="1" ht="15" customHeight="1">
      <c r="A109" s="112"/>
      <c r="B109" s="353" t="s">
        <v>230</v>
      </c>
      <c r="C109" s="113"/>
      <c r="D109" s="63" t="s">
        <v>231</v>
      </c>
      <c r="E109" s="114">
        <f>SUM(E110:E127)</f>
        <v>387900</v>
      </c>
      <c r="F109" s="114">
        <f>SUM(F111:F129)</f>
        <v>387900</v>
      </c>
      <c r="G109" s="69">
        <f>SUM(G110:G127)</f>
        <v>0</v>
      </c>
    </row>
    <row r="110" spans="1:7" s="64" customFormat="1" ht="60">
      <c r="A110" s="117"/>
      <c r="B110" s="353"/>
      <c r="C110" s="115" t="s">
        <v>199</v>
      </c>
      <c r="D110" s="261" t="s">
        <v>200</v>
      </c>
      <c r="E110" s="119">
        <v>387900</v>
      </c>
      <c r="F110" s="73"/>
      <c r="G110" s="214"/>
    </row>
    <row r="111" spans="1:7" s="64" customFormat="1" ht="12.75">
      <c r="A111" s="117"/>
      <c r="B111" s="348"/>
      <c r="C111" s="442" t="s">
        <v>385</v>
      </c>
      <c r="D111" s="444" t="s">
        <v>386</v>
      </c>
      <c r="E111" s="446"/>
      <c r="F111" s="448">
        <v>1140</v>
      </c>
      <c r="G111" s="439"/>
    </row>
    <row r="112" spans="1:7" s="64" customFormat="1" ht="12.75">
      <c r="A112" s="117"/>
      <c r="B112" s="348"/>
      <c r="C112" s="443"/>
      <c r="D112" s="445"/>
      <c r="E112" s="447"/>
      <c r="F112" s="438"/>
      <c r="G112" s="440"/>
    </row>
    <row r="113" spans="1:7" s="64" customFormat="1" ht="13.5" customHeight="1">
      <c r="A113" s="117"/>
      <c r="B113" s="348"/>
      <c r="C113" s="349" t="s">
        <v>344</v>
      </c>
      <c r="D113" s="420" t="s">
        <v>345</v>
      </c>
      <c r="E113" s="120"/>
      <c r="F113" s="346">
        <v>179714</v>
      </c>
      <c r="G113" s="372"/>
    </row>
    <row r="114" spans="1:7" s="64" customFormat="1" ht="12.75">
      <c r="A114" s="117"/>
      <c r="B114" s="348"/>
      <c r="C114" s="349" t="s">
        <v>348</v>
      </c>
      <c r="D114" s="261" t="s">
        <v>349</v>
      </c>
      <c r="E114" s="120"/>
      <c r="F114" s="346">
        <v>11068</v>
      </c>
      <c r="G114" s="372"/>
    </row>
    <row r="115" spans="1:7" s="64" customFormat="1" ht="12.75">
      <c r="A115" s="117"/>
      <c r="B115" s="348"/>
      <c r="C115" s="349" t="s">
        <v>350</v>
      </c>
      <c r="D115" s="420" t="s">
        <v>351</v>
      </c>
      <c r="E115" s="120"/>
      <c r="F115" s="346">
        <v>32749</v>
      </c>
      <c r="G115" s="372"/>
    </row>
    <row r="116" spans="1:7" s="64" customFormat="1" ht="12.75">
      <c r="A116" s="117"/>
      <c r="B116" s="348"/>
      <c r="C116" s="349" t="s">
        <v>352</v>
      </c>
      <c r="D116" s="420" t="s">
        <v>334</v>
      </c>
      <c r="E116" s="120"/>
      <c r="F116" s="346">
        <v>4510</v>
      </c>
      <c r="G116" s="372"/>
    </row>
    <row r="117" spans="1:7" s="64" customFormat="1" ht="12.75">
      <c r="A117" s="117"/>
      <c r="B117" s="348"/>
      <c r="C117" s="349" t="s">
        <v>353</v>
      </c>
      <c r="D117" s="420" t="s">
        <v>387</v>
      </c>
      <c r="E117" s="120"/>
      <c r="F117" s="346">
        <v>12900</v>
      </c>
      <c r="G117" s="372"/>
    </row>
    <row r="118" spans="1:7" s="64" customFormat="1" ht="12.75">
      <c r="A118" s="117"/>
      <c r="B118" s="348"/>
      <c r="C118" s="349" t="s">
        <v>354</v>
      </c>
      <c r="D118" s="420" t="s">
        <v>355</v>
      </c>
      <c r="E118" s="120"/>
      <c r="F118" s="346">
        <v>40980</v>
      </c>
      <c r="G118" s="372"/>
    </row>
    <row r="119" spans="1:7" s="64" customFormat="1" ht="12.75">
      <c r="A119" s="117"/>
      <c r="B119" s="348"/>
      <c r="C119" s="349" t="s">
        <v>356</v>
      </c>
      <c r="D119" s="420" t="s">
        <v>357</v>
      </c>
      <c r="E119" s="120"/>
      <c r="F119" s="346">
        <v>21000</v>
      </c>
      <c r="G119" s="372"/>
    </row>
    <row r="120" spans="1:7" s="64" customFormat="1" ht="12.75">
      <c r="A120" s="117"/>
      <c r="B120" s="348"/>
      <c r="C120" s="349" t="s">
        <v>358</v>
      </c>
      <c r="D120" s="420" t="s">
        <v>359</v>
      </c>
      <c r="E120" s="120"/>
      <c r="F120" s="346">
        <v>30000</v>
      </c>
      <c r="G120" s="372"/>
    </row>
    <row r="121" spans="1:7" s="64" customFormat="1" ht="12.75">
      <c r="A121" s="117"/>
      <c r="B121" s="348"/>
      <c r="C121" s="349" t="s">
        <v>377</v>
      </c>
      <c r="D121" s="420" t="s">
        <v>378</v>
      </c>
      <c r="E121" s="120"/>
      <c r="F121" s="346">
        <v>300</v>
      </c>
      <c r="G121" s="372"/>
    </row>
    <row r="122" spans="1:7" s="64" customFormat="1" ht="12.75">
      <c r="A122" s="117"/>
      <c r="B122" s="348"/>
      <c r="C122" s="115" t="s">
        <v>341</v>
      </c>
      <c r="D122" s="261" t="s">
        <v>336</v>
      </c>
      <c r="E122" s="116"/>
      <c r="F122" s="70">
        <v>27000</v>
      </c>
      <c r="G122" s="214"/>
    </row>
    <row r="123" spans="1:7" s="64" customFormat="1" ht="15.75" customHeight="1">
      <c r="A123" s="117"/>
      <c r="B123" s="348"/>
      <c r="C123" s="115" t="s">
        <v>388</v>
      </c>
      <c r="D123" s="261" t="s">
        <v>389</v>
      </c>
      <c r="E123" s="116"/>
      <c r="F123" s="70">
        <v>2039</v>
      </c>
      <c r="G123" s="214"/>
    </row>
    <row r="124" spans="1:7" s="64" customFormat="1" ht="27" customHeight="1">
      <c r="A124" s="117"/>
      <c r="B124" s="348"/>
      <c r="C124" s="115" t="s">
        <v>393</v>
      </c>
      <c r="D124" s="72" t="s">
        <v>398</v>
      </c>
      <c r="E124" s="116"/>
      <c r="F124" s="70">
        <v>2500</v>
      </c>
      <c r="G124" s="214"/>
    </row>
    <row r="125" spans="1:7" s="64" customFormat="1" ht="12.75">
      <c r="A125" s="117"/>
      <c r="B125" s="348"/>
      <c r="C125" s="115" t="s">
        <v>360</v>
      </c>
      <c r="D125" s="261" t="s">
        <v>361</v>
      </c>
      <c r="E125" s="116"/>
      <c r="F125" s="70">
        <v>4000</v>
      </c>
      <c r="G125" s="214"/>
    </row>
    <row r="126" spans="1:7" s="64" customFormat="1" ht="12.75">
      <c r="A126" s="117"/>
      <c r="B126" s="348"/>
      <c r="C126" s="115" t="s">
        <v>342</v>
      </c>
      <c r="D126" s="261" t="s">
        <v>343</v>
      </c>
      <c r="E126" s="116"/>
      <c r="F126" s="70">
        <v>800</v>
      </c>
      <c r="G126" s="214"/>
    </row>
    <row r="127" spans="1:7" s="64" customFormat="1" ht="24">
      <c r="A127" s="117"/>
      <c r="B127" s="348"/>
      <c r="C127" s="353" t="s">
        <v>363</v>
      </c>
      <c r="D127" s="422" t="s">
        <v>364</v>
      </c>
      <c r="E127" s="365"/>
      <c r="F127" s="366">
        <v>7200</v>
      </c>
      <c r="G127" s="375"/>
    </row>
    <row r="128" spans="1:7" s="64" customFormat="1" ht="27" customHeight="1">
      <c r="A128" s="117"/>
      <c r="B128" s="348"/>
      <c r="C128" s="353" t="s">
        <v>395</v>
      </c>
      <c r="D128" s="152" t="s">
        <v>400</v>
      </c>
      <c r="E128" s="365"/>
      <c r="F128" s="366">
        <v>1000</v>
      </c>
      <c r="G128" s="375"/>
    </row>
    <row r="129" spans="1:7" s="64" customFormat="1" ht="24">
      <c r="A129" s="118"/>
      <c r="B129" s="349"/>
      <c r="C129" s="353" t="s">
        <v>392</v>
      </c>
      <c r="D129" s="152" t="s">
        <v>402</v>
      </c>
      <c r="E129" s="365"/>
      <c r="F129" s="366">
        <v>9000</v>
      </c>
      <c r="G129" s="375"/>
    </row>
    <row r="130" spans="1:7" s="64" customFormat="1" ht="12.75">
      <c r="A130" s="451" t="s">
        <v>237</v>
      </c>
      <c r="B130" s="452"/>
      <c r="C130" s="453"/>
      <c r="D130" s="453"/>
      <c r="E130" s="74">
        <f>SUM(E108,E104,E71,E56,E29,E20,E11)</f>
        <v>4685571</v>
      </c>
      <c r="F130" s="74">
        <f>SUM(F108,F104,F71,F56,F29,F20,F11)</f>
        <v>4685571</v>
      </c>
      <c r="G130" s="74">
        <f>G11+G20+G29+G56+G71+G104+G108</f>
        <v>878391</v>
      </c>
    </row>
    <row r="131" spans="6:7" ht="12.75">
      <c r="F131" s="105"/>
      <c r="G131" s="67"/>
    </row>
    <row r="132" spans="6:7" ht="12.75">
      <c r="F132" s="105"/>
      <c r="G132" s="67"/>
    </row>
    <row r="133" spans="6:7" ht="12.75">
      <c r="F133" s="105"/>
      <c r="G133" s="67"/>
    </row>
    <row r="134" spans="6:7" ht="12.75">
      <c r="F134" s="105"/>
      <c r="G134" s="67"/>
    </row>
    <row r="135" spans="6:7" ht="12.75">
      <c r="F135" s="105"/>
      <c r="G135" s="67"/>
    </row>
    <row r="136" spans="6:7" ht="12.75">
      <c r="F136" s="105"/>
      <c r="G136" s="67"/>
    </row>
    <row r="137" spans="6:7" ht="12.75">
      <c r="F137" s="105"/>
      <c r="G137" s="67"/>
    </row>
    <row r="138" spans="6:7" ht="12.75">
      <c r="F138" s="105"/>
      <c r="G138" s="67"/>
    </row>
    <row r="139" spans="6:7" ht="12.75">
      <c r="F139" s="105"/>
      <c r="G139" s="67"/>
    </row>
    <row r="140" spans="6:7" ht="12.75">
      <c r="F140" s="105"/>
      <c r="G140" s="67"/>
    </row>
    <row r="141" spans="6:7" ht="12.75">
      <c r="F141" s="105"/>
      <c r="G141" s="67"/>
    </row>
    <row r="142" spans="6:7" ht="12.75">
      <c r="F142" s="105"/>
      <c r="G142" s="67"/>
    </row>
    <row r="143" spans="6:7" ht="12.75">
      <c r="F143" s="105"/>
      <c r="G143" s="67"/>
    </row>
    <row r="144" spans="6:7" ht="12.75">
      <c r="F144" s="105"/>
      <c r="G144" s="67"/>
    </row>
    <row r="145" spans="6:7" ht="12.75">
      <c r="F145" s="105"/>
      <c r="G145" s="67"/>
    </row>
    <row r="146" spans="6:7" ht="12.75">
      <c r="F146" s="105"/>
      <c r="G146" s="67"/>
    </row>
    <row r="147" spans="6:7" ht="12.75">
      <c r="F147" s="105"/>
      <c r="G147" s="67"/>
    </row>
    <row r="148" spans="6:7" ht="12.75">
      <c r="F148" s="105"/>
      <c r="G148" s="67"/>
    </row>
    <row r="149" spans="6:7" ht="12.75">
      <c r="F149" s="105"/>
      <c r="G149" s="67"/>
    </row>
    <row r="150" spans="6:7" ht="12.75">
      <c r="F150" s="105"/>
      <c r="G150" s="67"/>
    </row>
    <row r="151" spans="6:7" ht="12.75">
      <c r="F151" s="105"/>
      <c r="G151" s="67"/>
    </row>
    <row r="152" spans="6:7" ht="12.75">
      <c r="F152" s="105"/>
      <c r="G152" s="67"/>
    </row>
    <row r="153" spans="6:7" ht="12.75">
      <c r="F153" s="105"/>
      <c r="G153" s="67"/>
    </row>
    <row r="154" spans="6:7" ht="12.75">
      <c r="F154" s="105"/>
      <c r="G154" s="67"/>
    </row>
    <row r="155" spans="6:7" ht="12.75">
      <c r="F155" s="105"/>
      <c r="G155" s="67"/>
    </row>
    <row r="156" spans="6:7" ht="12.75">
      <c r="F156" s="105"/>
      <c r="G156" s="67"/>
    </row>
    <row r="157" spans="6:7" ht="12.75">
      <c r="F157" s="105"/>
      <c r="G157" s="67"/>
    </row>
    <row r="158" spans="6:7" ht="12.75">
      <c r="F158" s="105"/>
      <c r="G158" s="67"/>
    </row>
    <row r="159" spans="6:7" ht="12.75">
      <c r="F159" s="105"/>
      <c r="G159" s="67"/>
    </row>
    <row r="160" spans="6:7" ht="12.75">
      <c r="F160" s="105"/>
      <c r="G160" s="67"/>
    </row>
    <row r="161" spans="6:7" ht="12.75">
      <c r="F161" s="105"/>
      <c r="G161" s="67"/>
    </row>
    <row r="162" spans="6:7" ht="12.75">
      <c r="F162" s="105"/>
      <c r="G162" s="67"/>
    </row>
    <row r="163" spans="6:7" ht="12.75">
      <c r="F163" s="105"/>
      <c r="G163" s="67"/>
    </row>
    <row r="164" spans="6:7" ht="12.75">
      <c r="F164" s="105"/>
      <c r="G164" s="67"/>
    </row>
    <row r="165" spans="6:7" ht="12.75">
      <c r="F165" s="105"/>
      <c r="G165" s="67"/>
    </row>
    <row r="166" spans="6:7" ht="12.75">
      <c r="F166" s="105"/>
      <c r="G166" s="67"/>
    </row>
    <row r="167" spans="6:7" ht="12.75">
      <c r="F167" s="105"/>
      <c r="G167" s="67"/>
    </row>
    <row r="168" spans="6:7" ht="12.75">
      <c r="F168" s="105"/>
      <c r="G168" s="67"/>
    </row>
    <row r="169" spans="6:7" ht="12.75">
      <c r="F169" s="105"/>
      <c r="G169" s="67"/>
    </row>
    <row r="170" spans="6:7" ht="12.75">
      <c r="F170" s="105"/>
      <c r="G170" s="67"/>
    </row>
    <row r="171" spans="6:7" ht="12.75">
      <c r="F171" s="105"/>
      <c r="G171" s="67"/>
    </row>
    <row r="172" spans="6:7" ht="12.75">
      <c r="F172" s="105"/>
      <c r="G172" s="67"/>
    </row>
    <row r="173" spans="6:7" ht="12.75">
      <c r="F173" s="105"/>
      <c r="G173" s="67"/>
    </row>
    <row r="174" spans="6:7" ht="12.75">
      <c r="F174" s="105"/>
      <c r="G174" s="67"/>
    </row>
    <row r="175" spans="6:7" ht="12.75">
      <c r="F175" s="105"/>
      <c r="G175" s="67"/>
    </row>
    <row r="176" spans="6:7" ht="12.75">
      <c r="F176" s="105"/>
      <c r="G176" s="67"/>
    </row>
    <row r="177" spans="6:7" ht="12.75">
      <c r="F177" s="105"/>
      <c r="G177" s="67"/>
    </row>
    <row r="178" spans="6:7" ht="12.75">
      <c r="F178" s="105"/>
      <c r="G178" s="67"/>
    </row>
    <row r="179" spans="6:7" ht="12.75">
      <c r="F179" s="105"/>
      <c r="G179" s="67"/>
    </row>
    <row r="180" spans="6:7" ht="12.75">
      <c r="F180" s="105"/>
      <c r="G180" s="67"/>
    </row>
    <row r="181" spans="6:7" ht="12.75">
      <c r="F181" s="105"/>
      <c r="G181" s="67"/>
    </row>
    <row r="182" spans="6:7" ht="12.75">
      <c r="F182" s="105"/>
      <c r="G182" s="67"/>
    </row>
    <row r="183" spans="6:7" ht="12.75">
      <c r="F183" s="105"/>
      <c r="G183" s="67"/>
    </row>
    <row r="184" spans="6:7" ht="12.75">
      <c r="F184" s="105"/>
      <c r="G184" s="67"/>
    </row>
    <row r="185" spans="6:7" ht="12.75">
      <c r="F185" s="105"/>
      <c r="G185" s="67"/>
    </row>
    <row r="186" spans="6:7" ht="12.75">
      <c r="F186" s="105"/>
      <c r="G186" s="67"/>
    </row>
    <row r="187" spans="6:7" ht="12.75">
      <c r="F187" s="105"/>
      <c r="G187" s="67"/>
    </row>
    <row r="188" spans="6:7" ht="12.75">
      <c r="F188" s="105"/>
      <c r="G188" s="67"/>
    </row>
    <row r="189" spans="6:7" ht="12.75">
      <c r="F189" s="105"/>
      <c r="G189" s="67"/>
    </row>
    <row r="190" spans="6:7" ht="12.75">
      <c r="F190" s="105"/>
      <c r="G190" s="67"/>
    </row>
    <row r="191" spans="6:7" ht="12.75">
      <c r="F191" s="105"/>
      <c r="G191" s="67"/>
    </row>
    <row r="192" spans="6:7" ht="12.75">
      <c r="F192" s="105"/>
      <c r="G192" s="67"/>
    </row>
    <row r="193" spans="6:7" ht="12.75">
      <c r="F193" s="105"/>
      <c r="G193" s="67"/>
    </row>
    <row r="194" spans="6:7" ht="12.75">
      <c r="F194" s="105"/>
      <c r="G194" s="67"/>
    </row>
    <row r="195" spans="6:7" ht="12.75">
      <c r="F195" s="105"/>
      <c r="G195" s="67"/>
    </row>
    <row r="196" spans="6:7" ht="12.75">
      <c r="F196" s="105"/>
      <c r="G196" s="67"/>
    </row>
    <row r="197" spans="6:7" ht="12.75">
      <c r="F197" s="105"/>
      <c r="G197" s="67"/>
    </row>
    <row r="198" spans="6:7" ht="12.75">
      <c r="F198" s="105"/>
      <c r="G198" s="67"/>
    </row>
    <row r="199" spans="6:7" ht="12.75">
      <c r="F199" s="105"/>
      <c r="G199" s="67"/>
    </row>
    <row r="200" spans="6:7" ht="12.75">
      <c r="F200" s="105"/>
      <c r="G200" s="67"/>
    </row>
    <row r="201" spans="6:7" ht="12.75">
      <c r="F201" s="105"/>
      <c r="G201" s="67"/>
    </row>
    <row r="202" spans="6:7" ht="12.75">
      <c r="F202" s="105"/>
      <c r="G202" s="67"/>
    </row>
    <row r="203" spans="6:7" ht="12.75">
      <c r="F203" s="105"/>
      <c r="G203" s="67"/>
    </row>
    <row r="204" spans="6:7" ht="12.75">
      <c r="F204" s="105"/>
      <c r="G204" s="67"/>
    </row>
    <row r="205" spans="6:7" ht="12.75">
      <c r="F205" s="105"/>
      <c r="G205" s="67"/>
    </row>
    <row r="206" spans="6:7" ht="12.75">
      <c r="F206" s="105"/>
      <c r="G206" s="67"/>
    </row>
    <row r="207" spans="6:7" ht="12.75">
      <c r="F207" s="105"/>
      <c r="G207" s="67"/>
    </row>
    <row r="208" spans="6:7" ht="12.75">
      <c r="F208" s="105"/>
      <c r="G208" s="67"/>
    </row>
    <row r="209" spans="6:7" ht="12.75">
      <c r="F209" s="105"/>
      <c r="G209" s="67"/>
    </row>
    <row r="210" spans="6:7" ht="12.75">
      <c r="F210" s="105"/>
      <c r="G210" s="67"/>
    </row>
    <row r="211" spans="6:7" ht="12.75">
      <c r="F211" s="105"/>
      <c r="G211" s="67"/>
    </row>
    <row r="212" spans="6:7" ht="12.75">
      <c r="F212" s="105"/>
      <c r="G212" s="67"/>
    </row>
    <row r="213" spans="6:7" ht="12.75">
      <c r="F213" s="105"/>
      <c r="G213" s="67"/>
    </row>
    <row r="214" spans="6:7" ht="12.75">
      <c r="F214" s="105"/>
      <c r="G214" s="67"/>
    </row>
    <row r="215" spans="6:7" ht="12.75">
      <c r="F215" s="105"/>
      <c r="G215" s="67"/>
    </row>
    <row r="216" spans="6:7" ht="12.75">
      <c r="F216" s="105"/>
      <c r="G216" s="67"/>
    </row>
    <row r="217" spans="6:7" ht="12.75">
      <c r="F217" s="105"/>
      <c r="G217" s="67"/>
    </row>
    <row r="218" spans="6:7" ht="12.75">
      <c r="F218" s="105"/>
      <c r="G218" s="67"/>
    </row>
    <row r="219" spans="6:7" ht="12.75">
      <c r="F219" s="105"/>
      <c r="G219" s="67"/>
    </row>
    <row r="220" spans="6:7" ht="12.75">
      <c r="F220" s="105"/>
      <c r="G220" s="67"/>
    </row>
    <row r="221" spans="6:7" ht="12.75">
      <c r="F221" s="105"/>
      <c r="G221" s="67"/>
    </row>
    <row r="222" spans="6:7" ht="12.75">
      <c r="F222" s="105"/>
      <c r="G222" s="67"/>
    </row>
    <row r="223" spans="6:7" ht="12.75">
      <c r="F223" s="105"/>
      <c r="G223" s="67"/>
    </row>
    <row r="224" spans="6:7" ht="12.75">
      <c r="F224" s="105"/>
      <c r="G224" s="67"/>
    </row>
    <row r="225" spans="6:7" ht="12.75">
      <c r="F225" s="105"/>
      <c r="G225" s="67"/>
    </row>
    <row r="226" spans="6:7" ht="12.75">
      <c r="F226" s="105"/>
      <c r="G226" s="67"/>
    </row>
    <row r="227" spans="6:7" ht="12.75">
      <c r="F227" s="105"/>
      <c r="G227" s="67"/>
    </row>
    <row r="228" spans="6:7" ht="12.75">
      <c r="F228" s="105"/>
      <c r="G228" s="67"/>
    </row>
    <row r="229" spans="6:7" ht="12.75">
      <c r="F229" s="105"/>
      <c r="G229" s="67"/>
    </row>
    <row r="230" spans="6:7" ht="12.75">
      <c r="F230" s="105"/>
      <c r="G230" s="67"/>
    </row>
    <row r="231" spans="6:7" ht="12.75">
      <c r="F231" s="105"/>
      <c r="G231" s="67"/>
    </row>
    <row r="232" spans="6:7" ht="12.75">
      <c r="F232" s="105"/>
      <c r="G232" s="67"/>
    </row>
    <row r="233" spans="6:7" ht="12.75">
      <c r="F233" s="105"/>
      <c r="G233" s="67"/>
    </row>
    <row r="234" spans="6:7" ht="12.75">
      <c r="F234" s="105"/>
      <c r="G234" s="67"/>
    </row>
    <row r="235" spans="6:7" ht="12.75">
      <c r="F235" s="105"/>
      <c r="G235" s="67"/>
    </row>
    <row r="236" spans="6:7" ht="12.75">
      <c r="F236" s="105"/>
      <c r="G236" s="67"/>
    </row>
    <row r="237" spans="6:7" ht="12.75">
      <c r="F237" s="105"/>
      <c r="G237" s="67"/>
    </row>
    <row r="238" spans="6:7" ht="12.75">
      <c r="F238" s="105"/>
      <c r="G238" s="67"/>
    </row>
    <row r="239" spans="6:7" ht="12.75">
      <c r="F239" s="105"/>
      <c r="G239" s="67"/>
    </row>
    <row r="240" spans="6:7" ht="12.75">
      <c r="F240" s="105"/>
      <c r="G240" s="67"/>
    </row>
    <row r="241" spans="6:7" ht="12.75">
      <c r="F241" s="105"/>
      <c r="G241" s="67"/>
    </row>
    <row r="242" spans="6:7" ht="12.75">
      <c r="F242" s="105"/>
      <c r="G242" s="67"/>
    </row>
    <row r="243" spans="6:7" ht="12.75">
      <c r="F243" s="105"/>
      <c r="G243" s="67"/>
    </row>
    <row r="244" spans="6:7" ht="12.75">
      <c r="F244" s="105"/>
      <c r="G244" s="67"/>
    </row>
    <row r="245" spans="6:7" ht="12.75">
      <c r="F245" s="105"/>
      <c r="G245" s="67"/>
    </row>
    <row r="246" spans="6:7" ht="12.75">
      <c r="F246" s="105"/>
      <c r="G246" s="67"/>
    </row>
    <row r="247" spans="6:7" ht="12.75">
      <c r="F247" s="105"/>
      <c r="G247" s="67"/>
    </row>
    <row r="248" spans="6:7" ht="12.75">
      <c r="F248" s="105"/>
      <c r="G248" s="67"/>
    </row>
    <row r="249" spans="6:7" ht="12.75">
      <c r="F249" s="105"/>
      <c r="G249" s="67"/>
    </row>
    <row r="250" spans="6:7" ht="12.75">
      <c r="F250" s="105"/>
      <c r="G250" s="67"/>
    </row>
    <row r="251" spans="6:7" ht="12.75">
      <c r="F251" s="105"/>
      <c r="G251" s="67"/>
    </row>
    <row r="252" spans="6:7" ht="12.75">
      <c r="F252" s="105"/>
      <c r="G252" s="67"/>
    </row>
    <row r="253" spans="6:7" ht="12.75">
      <c r="F253" s="105"/>
      <c r="G253" s="67"/>
    </row>
    <row r="254" spans="6:7" ht="12.75">
      <c r="F254" s="105"/>
      <c r="G254" s="67"/>
    </row>
    <row r="255" spans="6:7" ht="12.75">
      <c r="F255" s="105"/>
      <c r="G255" s="67"/>
    </row>
    <row r="256" spans="6:7" ht="12.75">
      <c r="F256" s="105"/>
      <c r="G256" s="67"/>
    </row>
    <row r="257" spans="6:7" ht="12.75">
      <c r="F257" s="105"/>
      <c r="G257" s="67"/>
    </row>
    <row r="258" spans="6:7" ht="12.75">
      <c r="F258" s="105"/>
      <c r="G258" s="67"/>
    </row>
    <row r="259" spans="6:7" ht="12.75">
      <c r="F259" s="105"/>
      <c r="G259" s="67"/>
    </row>
    <row r="260" spans="6:7" ht="12.75">
      <c r="F260" s="105"/>
      <c r="G260" s="67"/>
    </row>
    <row r="261" spans="6:7" ht="12.75">
      <c r="F261" s="105"/>
      <c r="G261" s="67"/>
    </row>
    <row r="262" spans="6:7" ht="12.75">
      <c r="F262" s="105"/>
      <c r="G262" s="67"/>
    </row>
    <row r="263" spans="6:7" ht="12.75">
      <c r="F263" s="105"/>
      <c r="G263" s="67"/>
    </row>
    <row r="264" spans="6:7" ht="12.75">
      <c r="F264" s="105"/>
      <c r="G264" s="67"/>
    </row>
    <row r="265" spans="6:7" ht="12.75">
      <c r="F265" s="105"/>
      <c r="G265" s="67"/>
    </row>
    <row r="266" spans="6:7" ht="12.75">
      <c r="F266" s="105"/>
      <c r="G266" s="67"/>
    </row>
    <row r="267" spans="6:7" ht="12.75">
      <c r="F267" s="105"/>
      <c r="G267" s="67"/>
    </row>
    <row r="268" spans="6:7" ht="12.75">
      <c r="F268" s="105"/>
      <c r="G268" s="67"/>
    </row>
    <row r="269" spans="6:7" ht="12.75">
      <c r="F269" s="105"/>
      <c r="G269" s="67"/>
    </row>
    <row r="270" spans="6:7" ht="12.75">
      <c r="F270" s="105"/>
      <c r="G270" s="67"/>
    </row>
    <row r="271" spans="6:7" ht="12.75">
      <c r="F271" s="105"/>
      <c r="G271" s="67"/>
    </row>
    <row r="272" spans="6:7" ht="12.75">
      <c r="F272" s="105"/>
      <c r="G272" s="67"/>
    </row>
    <row r="273" spans="6:7" ht="12.75">
      <c r="F273" s="105"/>
      <c r="G273" s="67"/>
    </row>
    <row r="274" spans="6:7" ht="12.75">
      <c r="F274" s="105"/>
      <c r="G274" s="67"/>
    </row>
    <row r="275" spans="6:7" ht="12.75">
      <c r="F275" s="105"/>
      <c r="G275" s="67"/>
    </row>
    <row r="276" spans="6:7" ht="12.75">
      <c r="F276" s="105"/>
      <c r="G276" s="67"/>
    </row>
    <row r="277" spans="6:7" ht="12.75">
      <c r="F277" s="105"/>
      <c r="G277" s="67"/>
    </row>
    <row r="278" spans="6:7" ht="12.75">
      <c r="F278" s="105"/>
      <c r="G278" s="67"/>
    </row>
    <row r="279" spans="6:7" ht="12.75">
      <c r="F279" s="105"/>
      <c r="G279" s="67"/>
    </row>
    <row r="280" spans="6:7" ht="12.75">
      <c r="F280" s="105"/>
      <c r="G280" s="67"/>
    </row>
    <row r="281" spans="6:7" ht="12.75">
      <c r="F281" s="105"/>
      <c r="G281" s="67"/>
    </row>
    <row r="282" spans="6:7" ht="12.75">
      <c r="F282" s="105"/>
      <c r="G282" s="67"/>
    </row>
    <row r="283" spans="6:7" ht="12.75">
      <c r="F283" s="105"/>
      <c r="G283" s="67"/>
    </row>
    <row r="284" spans="6:7" ht="12.75">
      <c r="F284" s="105"/>
      <c r="G284" s="67"/>
    </row>
    <row r="285" spans="6:7" ht="12.75">
      <c r="F285" s="105"/>
      <c r="G285" s="67"/>
    </row>
    <row r="286" spans="6:7" ht="12.75">
      <c r="F286" s="105"/>
      <c r="G286" s="67"/>
    </row>
    <row r="287" spans="6:7" ht="12.75">
      <c r="F287" s="105"/>
      <c r="G287" s="67"/>
    </row>
    <row r="288" spans="6:7" ht="12.75">
      <c r="F288" s="105"/>
      <c r="G288" s="67"/>
    </row>
    <row r="289" spans="6:7" ht="12.75">
      <c r="F289" s="105"/>
      <c r="G289" s="67"/>
    </row>
    <row r="290" spans="6:7" ht="12.75">
      <c r="F290" s="105"/>
      <c r="G290" s="67"/>
    </row>
    <row r="291" spans="6:7" ht="12.75">
      <c r="F291" s="105"/>
      <c r="G291" s="67"/>
    </row>
    <row r="292" spans="6:7" ht="12.75">
      <c r="F292" s="105"/>
      <c r="G292" s="67"/>
    </row>
    <row r="293" spans="6:7" ht="12.75">
      <c r="F293" s="105"/>
      <c r="G293" s="67"/>
    </row>
    <row r="294" spans="6:7" ht="12.75">
      <c r="F294" s="105"/>
      <c r="G294" s="67"/>
    </row>
    <row r="295" spans="6:7" ht="12.75">
      <c r="F295" s="105"/>
      <c r="G295" s="67"/>
    </row>
    <row r="296" spans="6:7" ht="12.75">
      <c r="F296" s="105"/>
      <c r="G296" s="67"/>
    </row>
    <row r="297" spans="6:7" ht="12.75">
      <c r="F297" s="105"/>
      <c r="G297" s="67"/>
    </row>
    <row r="298" spans="6:7" ht="12.75">
      <c r="F298" s="105"/>
      <c r="G298" s="67"/>
    </row>
    <row r="299" spans="6:7" ht="12.75">
      <c r="F299" s="105"/>
      <c r="G299" s="67"/>
    </row>
    <row r="300" spans="6:7" ht="12.75">
      <c r="F300" s="105"/>
      <c r="G300" s="67"/>
    </row>
    <row r="301" spans="6:7" ht="12.75">
      <c r="F301" s="105"/>
      <c r="G301" s="67"/>
    </row>
    <row r="302" spans="6:7" ht="12.75">
      <c r="F302" s="105"/>
      <c r="G302" s="67"/>
    </row>
    <row r="303" spans="6:7" ht="12.75">
      <c r="F303" s="105"/>
      <c r="G303" s="67"/>
    </row>
    <row r="304" spans="6:7" ht="12.75">
      <c r="F304" s="105"/>
      <c r="G304" s="67"/>
    </row>
    <row r="305" spans="6:7" ht="12.75">
      <c r="F305" s="105"/>
      <c r="G305" s="67"/>
    </row>
    <row r="306" spans="6:7" ht="12.75">
      <c r="F306" s="105"/>
      <c r="G306" s="67"/>
    </row>
    <row r="307" spans="6:7" ht="12.75">
      <c r="F307" s="105"/>
      <c r="G307" s="67"/>
    </row>
    <row r="308" spans="6:7" ht="12.75">
      <c r="F308" s="105"/>
      <c r="G308" s="67"/>
    </row>
    <row r="309" spans="6:7" ht="12.75">
      <c r="F309" s="105"/>
      <c r="G309" s="67"/>
    </row>
    <row r="310" spans="6:7" ht="12.75">
      <c r="F310" s="105"/>
      <c r="G310" s="67"/>
    </row>
    <row r="311" spans="6:7" ht="12.75">
      <c r="F311" s="105"/>
      <c r="G311" s="67"/>
    </row>
    <row r="312" spans="6:7" ht="12.75">
      <c r="F312" s="105"/>
      <c r="G312" s="67"/>
    </row>
    <row r="313" spans="6:7" ht="12.75">
      <c r="F313" s="105"/>
      <c r="G313" s="67"/>
    </row>
    <row r="314" spans="6:7" ht="12.75">
      <c r="F314" s="105"/>
      <c r="G314" s="67"/>
    </row>
    <row r="315" spans="6:7" ht="12.75">
      <c r="F315" s="105"/>
      <c r="G315" s="67"/>
    </row>
    <row r="316" spans="6:7" ht="12.75">
      <c r="F316" s="105"/>
      <c r="G316" s="67"/>
    </row>
    <row r="317" spans="6:7" ht="12.75">
      <c r="F317" s="105"/>
      <c r="G317" s="67"/>
    </row>
    <row r="318" spans="6:7" ht="12.75">
      <c r="F318" s="105"/>
      <c r="G318" s="67"/>
    </row>
    <row r="319" spans="6:7" ht="12.75">
      <c r="F319" s="105"/>
      <c r="G319" s="67"/>
    </row>
    <row r="320" spans="6:7" ht="12.75">
      <c r="F320" s="105"/>
      <c r="G320" s="67"/>
    </row>
    <row r="321" spans="6:7" ht="12.75">
      <c r="F321" s="105"/>
      <c r="G321" s="67"/>
    </row>
    <row r="322" spans="6:7" ht="12.75">
      <c r="F322" s="105"/>
      <c r="G322" s="67"/>
    </row>
    <row r="323" spans="6:7" ht="12.75">
      <c r="F323" s="105"/>
      <c r="G323" s="67"/>
    </row>
    <row r="324" spans="6:7" ht="12.75">
      <c r="F324" s="105"/>
      <c r="G324" s="67"/>
    </row>
    <row r="325" spans="6:7" ht="12.75">
      <c r="F325" s="105"/>
      <c r="G325" s="67"/>
    </row>
    <row r="326" spans="6:7" ht="12.75">
      <c r="F326" s="105"/>
      <c r="G326" s="67"/>
    </row>
    <row r="327" spans="6:7" ht="12.75">
      <c r="F327" s="105"/>
      <c r="G327" s="67"/>
    </row>
    <row r="328" spans="6:7" ht="12.75">
      <c r="F328" s="105"/>
      <c r="G328" s="67"/>
    </row>
    <row r="329" spans="6:7" ht="12.75">
      <c r="F329" s="105"/>
      <c r="G329" s="67"/>
    </row>
    <row r="330" spans="6:7" ht="12.75">
      <c r="F330" s="105"/>
      <c r="G330" s="67"/>
    </row>
    <row r="331" spans="6:7" ht="12.75">
      <c r="F331" s="105"/>
      <c r="G331" s="67"/>
    </row>
    <row r="332" spans="6:7" ht="12.75">
      <c r="F332" s="105"/>
      <c r="G332" s="67"/>
    </row>
    <row r="333" spans="6:7" ht="12.75">
      <c r="F333" s="105"/>
      <c r="G333" s="67"/>
    </row>
    <row r="334" spans="6:7" ht="12.75">
      <c r="F334" s="105"/>
      <c r="G334" s="67"/>
    </row>
    <row r="335" spans="6:7" ht="12.75">
      <c r="F335" s="105"/>
      <c r="G335" s="67"/>
    </row>
    <row r="336" spans="6:7" ht="12.75">
      <c r="F336" s="105"/>
      <c r="G336" s="67"/>
    </row>
    <row r="337" spans="6:7" ht="12.75">
      <c r="F337" s="105"/>
      <c r="G337" s="67"/>
    </row>
    <row r="338" spans="6:7" ht="12.75">
      <c r="F338" s="105"/>
      <c r="G338" s="67"/>
    </row>
    <row r="339" spans="6:7" ht="12.75">
      <c r="F339" s="105"/>
      <c r="G339" s="67"/>
    </row>
    <row r="340" spans="6:7" ht="12.75">
      <c r="F340" s="105"/>
      <c r="G340" s="67"/>
    </row>
    <row r="341" spans="6:7" ht="12.75">
      <c r="F341" s="105"/>
      <c r="G341" s="67"/>
    </row>
    <row r="342" spans="6:7" ht="12.75">
      <c r="F342" s="105"/>
      <c r="G342" s="67"/>
    </row>
    <row r="343" spans="6:7" ht="12.75">
      <c r="F343" s="105"/>
      <c r="G343" s="67"/>
    </row>
    <row r="344" spans="6:7" ht="12.75">
      <c r="F344" s="105"/>
      <c r="G344" s="67"/>
    </row>
    <row r="345" spans="6:7" ht="12.75">
      <c r="F345" s="105"/>
      <c r="G345" s="67"/>
    </row>
    <row r="346" spans="6:7" ht="12.75">
      <c r="F346" s="105"/>
      <c r="G346" s="67"/>
    </row>
    <row r="347" spans="6:7" ht="12.75">
      <c r="F347" s="105"/>
      <c r="G347" s="67"/>
    </row>
    <row r="348" spans="6:7" ht="12.75">
      <c r="F348" s="105"/>
      <c r="G348" s="67"/>
    </row>
    <row r="349" spans="6:7" ht="12.75">
      <c r="F349" s="105"/>
      <c r="G349" s="67"/>
    </row>
    <row r="350" spans="6:7" ht="12.75">
      <c r="F350" s="105"/>
      <c r="G350" s="67"/>
    </row>
    <row r="351" spans="6:7" ht="12.75">
      <c r="F351" s="105"/>
      <c r="G351" s="67"/>
    </row>
    <row r="352" spans="6:7" ht="12.75">
      <c r="F352" s="105"/>
      <c r="G352" s="67"/>
    </row>
    <row r="353" spans="6:7" ht="12.75">
      <c r="F353" s="105"/>
      <c r="G353" s="67"/>
    </row>
    <row r="354" spans="6:7" ht="12.75">
      <c r="F354" s="105"/>
      <c r="G354" s="67"/>
    </row>
    <row r="355" spans="6:7" ht="12.75">
      <c r="F355" s="105"/>
      <c r="G355" s="67"/>
    </row>
    <row r="356" spans="6:7" ht="12.75">
      <c r="F356" s="105"/>
      <c r="G356" s="67"/>
    </row>
    <row r="357" spans="6:7" ht="12.75">
      <c r="F357" s="105"/>
      <c r="G357" s="67"/>
    </row>
    <row r="358" spans="6:7" ht="12.75">
      <c r="F358" s="105"/>
      <c r="G358" s="67"/>
    </row>
    <row r="359" spans="6:7" ht="12.75">
      <c r="F359" s="105"/>
      <c r="G359" s="67"/>
    </row>
    <row r="360" spans="6:7" ht="12.75">
      <c r="F360" s="105"/>
      <c r="G360" s="67"/>
    </row>
    <row r="361" spans="6:7" ht="12.75">
      <c r="F361" s="105"/>
      <c r="G361" s="67"/>
    </row>
    <row r="362" spans="6:7" ht="12.75">
      <c r="F362" s="105"/>
      <c r="G362" s="67"/>
    </row>
    <row r="363" spans="6:7" ht="12.75">
      <c r="F363" s="105"/>
      <c r="G363" s="67"/>
    </row>
    <row r="364" spans="6:7" ht="12.75">
      <c r="F364" s="105"/>
      <c r="G364" s="67"/>
    </row>
    <row r="365" spans="6:7" ht="12.75">
      <c r="F365" s="105"/>
      <c r="G365" s="67"/>
    </row>
    <row r="366" spans="6:7" ht="12.75">
      <c r="F366" s="105"/>
      <c r="G366" s="67"/>
    </row>
    <row r="367" spans="6:7" ht="12.75">
      <c r="F367" s="105"/>
      <c r="G367" s="67"/>
    </row>
    <row r="368" spans="6:7" ht="12.75">
      <c r="F368" s="105"/>
      <c r="G368" s="67"/>
    </row>
    <row r="369" spans="6:7" ht="12.75">
      <c r="F369" s="105"/>
      <c r="G369" s="67"/>
    </row>
    <row r="370" spans="6:7" ht="12.75">
      <c r="F370" s="105"/>
      <c r="G370" s="67"/>
    </row>
    <row r="371" spans="6:7" ht="12.75">
      <c r="F371" s="105"/>
      <c r="G371" s="67"/>
    </row>
    <row r="372" spans="6:7" ht="12.75">
      <c r="F372" s="105"/>
      <c r="G372" s="67"/>
    </row>
    <row r="373" spans="6:7" ht="12.75">
      <c r="F373" s="105"/>
      <c r="G373" s="67"/>
    </row>
    <row r="374" spans="6:7" ht="12.75">
      <c r="F374" s="105"/>
      <c r="G374" s="67"/>
    </row>
    <row r="375" spans="6:7" ht="12.75">
      <c r="F375" s="105"/>
      <c r="G375" s="67"/>
    </row>
    <row r="376" spans="6:7" ht="12.75">
      <c r="F376" s="105"/>
      <c r="G376" s="67"/>
    </row>
    <row r="377" spans="6:7" ht="12.75">
      <c r="F377" s="105"/>
      <c r="G377" s="67"/>
    </row>
    <row r="378" spans="6:7" ht="12.75">
      <c r="F378" s="105"/>
      <c r="G378" s="67"/>
    </row>
    <row r="379" spans="6:7" ht="12.75">
      <c r="F379" s="105"/>
      <c r="G379" s="67"/>
    </row>
    <row r="380" spans="6:7" ht="12.75">
      <c r="F380" s="105"/>
      <c r="G380" s="67"/>
    </row>
    <row r="381" spans="6:7" ht="12.75">
      <c r="F381" s="105"/>
      <c r="G381" s="67"/>
    </row>
    <row r="382" spans="6:7" ht="12.75">
      <c r="F382" s="105"/>
      <c r="G382" s="67"/>
    </row>
    <row r="383" spans="6:7" ht="12.75">
      <c r="F383" s="105"/>
      <c r="G383" s="67"/>
    </row>
    <row r="384" spans="6:7" ht="12.75">
      <c r="F384" s="105"/>
      <c r="G384" s="67"/>
    </row>
    <row r="385" spans="6:7" ht="12.75">
      <c r="F385" s="105"/>
      <c r="G385" s="67"/>
    </row>
    <row r="386" spans="6:7" ht="12.75">
      <c r="F386" s="105"/>
      <c r="G386" s="67"/>
    </row>
    <row r="387" spans="6:7" ht="12.75">
      <c r="F387" s="105"/>
      <c r="G387" s="67"/>
    </row>
    <row r="388" spans="6:7" ht="12.75">
      <c r="F388" s="105"/>
      <c r="G388" s="67"/>
    </row>
    <row r="389" spans="6:7" ht="12.75">
      <c r="F389" s="105"/>
      <c r="G389" s="67"/>
    </row>
    <row r="390" spans="6:7" ht="12.75">
      <c r="F390" s="105"/>
      <c r="G390" s="67"/>
    </row>
    <row r="391" spans="6:7" ht="12.75">
      <c r="F391" s="105"/>
      <c r="G391" s="67"/>
    </row>
    <row r="392" spans="6:7" ht="12.75">
      <c r="F392" s="105"/>
      <c r="G392" s="67"/>
    </row>
    <row r="393" spans="6:7" ht="12.75">
      <c r="F393" s="105"/>
      <c r="G393" s="67"/>
    </row>
    <row r="394" spans="6:7" ht="12.75">
      <c r="F394" s="105"/>
      <c r="G394" s="67"/>
    </row>
    <row r="395" spans="6:7" ht="12.75">
      <c r="F395" s="105"/>
      <c r="G395" s="67"/>
    </row>
    <row r="396" spans="6:7" ht="12.75">
      <c r="F396" s="105"/>
      <c r="G396" s="67"/>
    </row>
    <row r="397" spans="6:7" ht="12.75">
      <c r="F397" s="105"/>
      <c r="G397" s="67"/>
    </row>
    <row r="398" spans="6:7" ht="12.75">
      <c r="F398" s="105"/>
      <c r="G398" s="67"/>
    </row>
    <row r="399" spans="6:7" ht="12.75">
      <c r="F399" s="105"/>
      <c r="G399" s="67"/>
    </row>
    <row r="400" spans="6:7" ht="12.75">
      <c r="F400" s="105"/>
      <c r="G400" s="67"/>
    </row>
    <row r="401" spans="6:7" ht="12.75">
      <c r="F401" s="105"/>
      <c r="G401" s="67"/>
    </row>
    <row r="402" spans="6:7" ht="12.75">
      <c r="F402" s="105"/>
      <c r="G402" s="67"/>
    </row>
    <row r="403" spans="6:7" ht="12.75">
      <c r="F403" s="105"/>
      <c r="G403" s="67"/>
    </row>
    <row r="404" spans="6:7" ht="12.75">
      <c r="F404" s="105"/>
      <c r="G404" s="67"/>
    </row>
    <row r="405" spans="6:7" ht="12.75">
      <c r="F405" s="105"/>
      <c r="G405" s="67"/>
    </row>
    <row r="406" spans="6:7" ht="12.75">
      <c r="F406" s="105"/>
      <c r="G406" s="67"/>
    </row>
    <row r="407" spans="6:7" ht="12.75">
      <c r="F407" s="105"/>
      <c r="G407" s="67"/>
    </row>
    <row r="408" spans="6:7" ht="12.75">
      <c r="F408" s="105"/>
      <c r="G408" s="67"/>
    </row>
    <row r="409" spans="6:7" ht="12.75">
      <c r="F409" s="105"/>
      <c r="G409" s="67"/>
    </row>
    <row r="410" spans="6:7" ht="12.75">
      <c r="F410" s="105"/>
      <c r="G410" s="67"/>
    </row>
    <row r="411" spans="6:7" ht="12.75">
      <c r="F411" s="105"/>
      <c r="G411" s="67"/>
    </row>
    <row r="412" spans="6:7" ht="12.75">
      <c r="F412" s="105"/>
      <c r="G412" s="67"/>
    </row>
    <row r="413" spans="6:7" ht="12.75">
      <c r="F413" s="105"/>
      <c r="G413" s="67"/>
    </row>
    <row r="414" spans="6:7" ht="12.75">
      <c r="F414" s="105"/>
      <c r="G414" s="67"/>
    </row>
    <row r="415" spans="6:7" ht="12.75">
      <c r="F415" s="105"/>
      <c r="G415" s="67"/>
    </row>
    <row r="416" spans="6:7" ht="12.75">
      <c r="F416" s="105"/>
      <c r="G416" s="67"/>
    </row>
    <row r="417" spans="6:7" ht="12.75">
      <c r="F417" s="105"/>
      <c r="G417" s="67"/>
    </row>
    <row r="418" spans="6:7" ht="12.75">
      <c r="F418" s="105"/>
      <c r="G418" s="67"/>
    </row>
    <row r="419" spans="6:7" ht="12.75">
      <c r="F419" s="105"/>
      <c r="G419" s="67"/>
    </row>
    <row r="420" spans="6:7" ht="12.75">
      <c r="F420" s="105"/>
      <c r="G420" s="67"/>
    </row>
    <row r="421" spans="6:7" ht="12.75">
      <c r="F421" s="105"/>
      <c r="G421" s="67"/>
    </row>
    <row r="422" spans="6:7" ht="12.75">
      <c r="F422" s="105"/>
      <c r="G422" s="67"/>
    </row>
    <row r="423" spans="6:7" ht="12.75">
      <c r="F423" s="105"/>
      <c r="G423" s="67"/>
    </row>
    <row r="424" spans="6:7" ht="12.75">
      <c r="F424" s="105"/>
      <c r="G424" s="67"/>
    </row>
    <row r="425" spans="6:7" ht="12.75">
      <c r="F425" s="105"/>
      <c r="G425" s="67"/>
    </row>
    <row r="426" spans="6:7" ht="12.75">
      <c r="F426" s="105"/>
      <c r="G426" s="67"/>
    </row>
    <row r="427" spans="6:7" ht="12.75">
      <c r="F427" s="105"/>
      <c r="G427" s="67"/>
    </row>
    <row r="428" spans="6:7" ht="12.75">
      <c r="F428" s="105"/>
      <c r="G428" s="67"/>
    </row>
    <row r="429" spans="6:7" ht="12.75">
      <c r="F429" s="105"/>
      <c r="G429" s="67"/>
    </row>
    <row r="430" spans="6:7" ht="12.75">
      <c r="F430" s="105"/>
      <c r="G430" s="67"/>
    </row>
    <row r="431" spans="6:7" ht="12.75">
      <c r="F431" s="105"/>
      <c r="G431" s="67"/>
    </row>
    <row r="432" spans="6:7" ht="12.75">
      <c r="F432" s="105"/>
      <c r="G432" s="67"/>
    </row>
    <row r="433" spans="6:7" ht="12.75">
      <c r="F433" s="105"/>
      <c r="G433" s="67"/>
    </row>
    <row r="434" spans="6:7" ht="12.75">
      <c r="F434" s="105"/>
      <c r="G434" s="67"/>
    </row>
    <row r="435" spans="6:7" ht="12.75">
      <c r="F435" s="105"/>
      <c r="G435" s="67"/>
    </row>
    <row r="436" spans="6:7" ht="12.75">
      <c r="F436" s="105"/>
      <c r="G436" s="67"/>
    </row>
    <row r="437" spans="6:7" ht="12.75">
      <c r="F437" s="105"/>
      <c r="G437" s="67"/>
    </row>
    <row r="438" spans="6:7" ht="12.75">
      <c r="F438" s="105"/>
      <c r="G438" s="67"/>
    </row>
    <row r="439" spans="6:7" ht="12.75">
      <c r="F439" s="105"/>
      <c r="G439" s="67"/>
    </row>
    <row r="440" spans="6:7" ht="12.75">
      <c r="F440" s="105"/>
      <c r="G440" s="67"/>
    </row>
    <row r="441" spans="6:7" ht="12.75">
      <c r="F441" s="105"/>
      <c r="G441" s="67"/>
    </row>
    <row r="442" spans="6:7" ht="12.75">
      <c r="F442" s="105"/>
      <c r="G442" s="67"/>
    </row>
    <row r="443" spans="6:7" ht="12.75">
      <c r="F443" s="105"/>
      <c r="G443" s="67"/>
    </row>
    <row r="444" spans="6:7" ht="12.75">
      <c r="F444" s="105"/>
      <c r="G444" s="67"/>
    </row>
    <row r="445" spans="6:7" ht="12.75">
      <c r="F445" s="105"/>
      <c r="G445" s="67"/>
    </row>
    <row r="446" spans="6:7" ht="12.75">
      <c r="F446" s="105"/>
      <c r="G446" s="67"/>
    </row>
    <row r="447" spans="6:7" ht="12.75">
      <c r="F447" s="105"/>
      <c r="G447" s="67"/>
    </row>
    <row r="448" spans="6:7" ht="12.75">
      <c r="F448" s="105"/>
      <c r="G448" s="67"/>
    </row>
    <row r="449" spans="6:7" ht="12.75">
      <c r="F449" s="105"/>
      <c r="G449" s="67"/>
    </row>
    <row r="450" spans="6:7" ht="12.75">
      <c r="F450" s="105"/>
      <c r="G450" s="67"/>
    </row>
    <row r="451" spans="6:7" ht="12.75">
      <c r="F451" s="105"/>
      <c r="G451" s="67"/>
    </row>
    <row r="452" spans="6:7" ht="12.75">
      <c r="F452" s="105"/>
      <c r="G452" s="67"/>
    </row>
    <row r="453" spans="6:7" ht="12.75">
      <c r="F453" s="105"/>
      <c r="G453" s="67"/>
    </row>
    <row r="454" spans="6:7" ht="12.75">
      <c r="F454" s="105"/>
      <c r="G454" s="67"/>
    </row>
    <row r="455" spans="6:7" ht="12.75">
      <c r="F455" s="105"/>
      <c r="G455" s="67"/>
    </row>
    <row r="456" spans="6:7" ht="12.75">
      <c r="F456" s="105"/>
      <c r="G456" s="67"/>
    </row>
    <row r="457" spans="6:7" ht="12.75">
      <c r="F457" s="105"/>
      <c r="G457" s="67"/>
    </row>
    <row r="458" spans="6:7" ht="12.75">
      <c r="F458" s="105"/>
      <c r="G458" s="67"/>
    </row>
    <row r="459" spans="6:7" ht="12.75">
      <c r="F459" s="105"/>
      <c r="G459" s="67"/>
    </row>
    <row r="460" spans="6:7" ht="12.75">
      <c r="F460" s="105"/>
      <c r="G460" s="67"/>
    </row>
    <row r="461" spans="6:7" ht="12.75">
      <c r="F461" s="105"/>
      <c r="G461" s="67"/>
    </row>
    <row r="462" spans="6:7" ht="12.75">
      <c r="F462" s="105"/>
      <c r="G462" s="67"/>
    </row>
    <row r="463" spans="6:7" ht="12.75">
      <c r="F463" s="105"/>
      <c r="G463" s="67"/>
    </row>
    <row r="464" spans="6:7" ht="12.75">
      <c r="F464" s="105"/>
      <c r="G464" s="67"/>
    </row>
    <row r="465" spans="6:7" ht="12.75">
      <c r="F465" s="105"/>
      <c r="G465" s="67"/>
    </row>
    <row r="466" spans="6:7" ht="12.75">
      <c r="F466" s="105"/>
      <c r="G466" s="67"/>
    </row>
    <row r="467" spans="6:7" ht="12.75">
      <c r="F467" s="105"/>
      <c r="G467" s="67"/>
    </row>
    <row r="468" spans="6:7" ht="12.75">
      <c r="F468" s="105"/>
      <c r="G468" s="67"/>
    </row>
    <row r="469" spans="6:7" ht="12.75">
      <c r="F469" s="105"/>
      <c r="G469" s="67"/>
    </row>
    <row r="470" spans="6:7" ht="12.75">
      <c r="F470" s="105"/>
      <c r="G470" s="67"/>
    </row>
    <row r="471" spans="6:7" ht="12.75">
      <c r="F471" s="105"/>
      <c r="G471" s="67"/>
    </row>
    <row r="472" spans="6:7" ht="12.75">
      <c r="F472" s="105"/>
      <c r="G472" s="67"/>
    </row>
    <row r="473" spans="6:7" ht="12.75">
      <c r="F473" s="105"/>
      <c r="G473" s="67"/>
    </row>
    <row r="474" spans="6:7" ht="12.75">
      <c r="F474" s="105"/>
      <c r="G474" s="67"/>
    </row>
    <row r="475" spans="6:7" ht="12.75">
      <c r="F475" s="105"/>
      <c r="G475" s="67"/>
    </row>
    <row r="476" spans="6:7" ht="12.75">
      <c r="F476" s="105"/>
      <c r="G476" s="67"/>
    </row>
    <row r="477" spans="6:7" ht="12.75">
      <c r="F477" s="105"/>
      <c r="G477" s="67"/>
    </row>
    <row r="478" spans="6:7" ht="12.75">
      <c r="F478" s="105"/>
      <c r="G478" s="67"/>
    </row>
    <row r="479" spans="6:7" ht="12.75">
      <c r="F479" s="105"/>
      <c r="G479" s="67"/>
    </row>
    <row r="480" spans="6:7" ht="12.75">
      <c r="F480" s="105"/>
      <c r="G480" s="67"/>
    </row>
    <row r="481" spans="6:7" ht="12.75">
      <c r="F481" s="105"/>
      <c r="G481" s="67"/>
    </row>
    <row r="482" spans="6:7" ht="12.75">
      <c r="F482" s="105"/>
      <c r="G482" s="67"/>
    </row>
    <row r="483" spans="6:7" ht="12.75">
      <c r="F483" s="105"/>
      <c r="G483" s="67"/>
    </row>
    <row r="484" spans="6:7" ht="12.75">
      <c r="F484" s="105"/>
      <c r="G484" s="67"/>
    </row>
    <row r="485" spans="6:7" ht="12.75">
      <c r="F485" s="105"/>
      <c r="G485" s="67"/>
    </row>
    <row r="486" spans="6:7" ht="12.75">
      <c r="F486" s="105"/>
      <c r="G486" s="67"/>
    </row>
    <row r="487" spans="6:7" ht="12.75">
      <c r="F487" s="105"/>
      <c r="G487" s="67"/>
    </row>
    <row r="488" spans="6:7" ht="12.75">
      <c r="F488" s="105"/>
      <c r="G488" s="67"/>
    </row>
    <row r="489" spans="6:7" ht="12.75">
      <c r="F489" s="105"/>
      <c r="G489" s="67"/>
    </row>
    <row r="490" spans="6:7" ht="12.75">
      <c r="F490" s="105"/>
      <c r="G490" s="67"/>
    </row>
    <row r="491" spans="6:7" ht="12.75">
      <c r="F491" s="105"/>
      <c r="G491" s="67"/>
    </row>
    <row r="492" spans="6:7" ht="12.75">
      <c r="F492" s="105"/>
      <c r="G492" s="67"/>
    </row>
    <row r="493" spans="6:7" ht="12.75">
      <c r="F493" s="105"/>
      <c r="G493" s="67"/>
    </row>
    <row r="494" spans="6:7" ht="12.75">
      <c r="F494" s="105"/>
      <c r="G494" s="67"/>
    </row>
    <row r="495" spans="6:7" ht="12.75">
      <c r="F495" s="105"/>
      <c r="G495" s="67"/>
    </row>
    <row r="496" spans="6:7" ht="12.75">
      <c r="F496" s="105"/>
      <c r="G496" s="67"/>
    </row>
    <row r="497" spans="6:7" ht="12.75">
      <c r="F497" s="105"/>
      <c r="G497" s="67"/>
    </row>
    <row r="498" spans="6:7" ht="12.75">
      <c r="F498" s="105"/>
      <c r="G498" s="67"/>
    </row>
    <row r="499" spans="6:7" ht="12.75">
      <c r="F499" s="105"/>
      <c r="G499" s="67"/>
    </row>
    <row r="500" spans="6:7" ht="12.75">
      <c r="F500" s="105"/>
      <c r="G500" s="67"/>
    </row>
    <row r="501" spans="6:7" ht="12.75">
      <c r="F501" s="105"/>
      <c r="G501" s="67"/>
    </row>
    <row r="502" spans="6:7" ht="12.75">
      <c r="F502" s="105"/>
      <c r="G502" s="67"/>
    </row>
    <row r="503" spans="6:7" ht="12.75">
      <c r="F503" s="105"/>
      <c r="G503" s="67"/>
    </row>
    <row r="504" spans="6:7" ht="12.75">
      <c r="F504" s="105"/>
      <c r="G504" s="67"/>
    </row>
    <row r="505" spans="6:7" ht="12.75">
      <c r="F505" s="105"/>
      <c r="G505" s="67"/>
    </row>
    <row r="506" spans="6:7" ht="12.75">
      <c r="F506" s="105"/>
      <c r="G506" s="67"/>
    </row>
    <row r="507" spans="6:7" ht="12.75">
      <c r="F507" s="105"/>
      <c r="G507" s="67"/>
    </row>
    <row r="508" spans="6:7" ht="12.75">
      <c r="F508" s="105"/>
      <c r="G508" s="67"/>
    </row>
    <row r="509" spans="6:7" ht="12.75">
      <c r="F509" s="105"/>
      <c r="G509" s="67"/>
    </row>
    <row r="510" spans="6:7" ht="12.75">
      <c r="F510" s="105"/>
      <c r="G510" s="67"/>
    </row>
    <row r="511" spans="6:7" ht="12.75">
      <c r="F511" s="105"/>
      <c r="G511" s="67"/>
    </row>
    <row r="512" spans="6:7" ht="12.75">
      <c r="F512" s="105"/>
      <c r="G512" s="67"/>
    </row>
    <row r="513" spans="6:7" ht="12.75">
      <c r="F513" s="105"/>
      <c r="G513" s="67"/>
    </row>
    <row r="514" spans="6:7" ht="12.75">
      <c r="F514" s="105"/>
      <c r="G514" s="67"/>
    </row>
    <row r="515" spans="6:7" ht="12.75">
      <c r="F515" s="105"/>
      <c r="G515" s="67"/>
    </row>
    <row r="516" spans="6:7" ht="12.75">
      <c r="F516" s="105"/>
      <c r="G516" s="67"/>
    </row>
    <row r="517" spans="6:7" ht="12.75">
      <c r="F517" s="105"/>
      <c r="G517" s="67"/>
    </row>
    <row r="518" spans="6:7" ht="12.75">
      <c r="F518" s="105"/>
      <c r="G518" s="67"/>
    </row>
    <row r="519" spans="6:7" ht="12.75">
      <c r="F519" s="105"/>
      <c r="G519" s="67"/>
    </row>
    <row r="520" spans="6:7" ht="12.75">
      <c r="F520" s="105"/>
      <c r="G520" s="67"/>
    </row>
    <row r="521" spans="6:7" ht="12.75">
      <c r="F521" s="105"/>
      <c r="G521" s="67"/>
    </row>
    <row r="522" spans="6:7" ht="12.75">
      <c r="F522" s="105"/>
      <c r="G522" s="67"/>
    </row>
    <row r="523" spans="6:7" ht="12.75">
      <c r="F523" s="105"/>
      <c r="G523" s="67"/>
    </row>
    <row r="524" spans="6:7" ht="12.75">
      <c r="F524" s="105"/>
      <c r="G524" s="67"/>
    </row>
    <row r="525" spans="6:7" ht="12.75">
      <c r="F525" s="105"/>
      <c r="G525" s="67"/>
    </row>
    <row r="526" spans="6:7" ht="12.75">
      <c r="F526" s="105"/>
      <c r="G526" s="67"/>
    </row>
    <row r="527" spans="6:7" ht="12.75">
      <c r="F527" s="105"/>
      <c r="G527" s="67"/>
    </row>
    <row r="528" spans="6:7" ht="12.75">
      <c r="F528" s="105"/>
      <c r="G528" s="67"/>
    </row>
    <row r="529" spans="6:7" ht="12.75">
      <c r="F529" s="105"/>
      <c r="G529" s="67"/>
    </row>
    <row r="530" spans="6:7" ht="12.75">
      <c r="F530" s="105"/>
      <c r="G530" s="67"/>
    </row>
    <row r="531" spans="6:7" ht="12.75">
      <c r="F531" s="105"/>
      <c r="G531" s="67"/>
    </row>
    <row r="532" spans="6:7" ht="12.75">
      <c r="F532" s="105"/>
      <c r="G532" s="67"/>
    </row>
    <row r="533" spans="6:7" ht="12.75">
      <c r="F533" s="105"/>
      <c r="G533" s="67"/>
    </row>
    <row r="534" spans="6:7" ht="12.75">
      <c r="F534" s="105"/>
      <c r="G534" s="67"/>
    </row>
    <row r="535" spans="6:7" ht="12.75">
      <c r="F535" s="105"/>
      <c r="G535" s="67"/>
    </row>
    <row r="536" spans="6:7" ht="12.75">
      <c r="F536" s="105"/>
      <c r="G536" s="67"/>
    </row>
    <row r="537" spans="6:7" ht="12.75">
      <c r="F537" s="105"/>
      <c r="G537" s="67"/>
    </row>
    <row r="538" spans="6:7" ht="12.75">
      <c r="F538" s="105"/>
      <c r="G538" s="67"/>
    </row>
    <row r="539" spans="6:7" ht="12.75">
      <c r="F539" s="105"/>
      <c r="G539" s="67"/>
    </row>
    <row r="540" spans="6:7" ht="12.75">
      <c r="F540" s="105"/>
      <c r="G540" s="67"/>
    </row>
    <row r="541" spans="6:7" ht="12.75">
      <c r="F541" s="105"/>
      <c r="G541" s="67"/>
    </row>
    <row r="542" spans="6:7" ht="12.75">
      <c r="F542" s="105"/>
      <c r="G542" s="67"/>
    </row>
    <row r="543" spans="6:7" ht="12.75">
      <c r="F543" s="105"/>
      <c r="G543" s="67"/>
    </row>
    <row r="544" spans="6:7" ht="12.75">
      <c r="F544" s="105"/>
      <c r="G544" s="67"/>
    </row>
    <row r="545" spans="6:7" ht="12.75">
      <c r="F545" s="105"/>
      <c r="G545" s="67"/>
    </row>
    <row r="546" spans="6:7" ht="12.75">
      <c r="F546" s="105"/>
      <c r="G546" s="67"/>
    </row>
    <row r="547" spans="6:7" ht="12.75">
      <c r="F547" s="105"/>
      <c r="G547" s="67"/>
    </row>
    <row r="548" spans="6:7" ht="12.75">
      <c r="F548" s="105"/>
      <c r="G548" s="67"/>
    </row>
    <row r="549" spans="6:7" ht="12.75">
      <c r="F549" s="105"/>
      <c r="G549" s="67"/>
    </row>
    <row r="550" spans="6:7" ht="12.75">
      <c r="F550" s="105"/>
      <c r="G550" s="67"/>
    </row>
    <row r="551" spans="6:7" ht="12.75">
      <c r="F551" s="105"/>
      <c r="G551" s="67"/>
    </row>
    <row r="552" spans="6:7" ht="12.75">
      <c r="F552" s="105"/>
      <c r="G552" s="67"/>
    </row>
    <row r="553" spans="6:7" ht="12.75">
      <c r="F553" s="105"/>
      <c r="G553" s="67"/>
    </row>
    <row r="554" spans="6:7" ht="12.75">
      <c r="F554" s="105"/>
      <c r="G554" s="67"/>
    </row>
    <row r="555" spans="6:7" ht="12.75">
      <c r="F555" s="105"/>
      <c r="G555" s="67"/>
    </row>
    <row r="556" spans="6:7" ht="12.75">
      <c r="F556" s="105"/>
      <c r="G556" s="67"/>
    </row>
    <row r="557" spans="6:7" ht="12.75">
      <c r="F557" s="105"/>
      <c r="G557" s="67"/>
    </row>
    <row r="558" spans="6:7" ht="12.75">
      <c r="F558" s="105"/>
      <c r="G558" s="67"/>
    </row>
    <row r="559" spans="6:7" ht="12.75">
      <c r="F559" s="105"/>
      <c r="G559" s="67"/>
    </row>
    <row r="560" spans="6:7" ht="12.75">
      <c r="F560" s="105"/>
      <c r="G560" s="67"/>
    </row>
    <row r="561" spans="6:7" ht="12.75">
      <c r="F561" s="105"/>
      <c r="G561" s="67"/>
    </row>
    <row r="562" spans="6:7" ht="12.75">
      <c r="F562" s="105"/>
      <c r="G562" s="67"/>
    </row>
    <row r="563" spans="6:7" ht="12.75">
      <c r="F563" s="105"/>
      <c r="G563" s="67"/>
    </row>
    <row r="564" spans="6:7" ht="12.75">
      <c r="F564" s="105"/>
      <c r="G564" s="67"/>
    </row>
    <row r="565" spans="6:7" ht="12.75">
      <c r="F565" s="105"/>
      <c r="G565" s="67"/>
    </row>
    <row r="566" spans="6:7" ht="12.75">
      <c r="F566" s="105"/>
      <c r="G566" s="67"/>
    </row>
    <row r="567" spans="6:7" ht="12.75">
      <c r="F567" s="105"/>
      <c r="G567" s="67"/>
    </row>
    <row r="568" spans="6:7" ht="12.75">
      <c r="F568" s="105"/>
      <c r="G568" s="67"/>
    </row>
    <row r="569" spans="6:7" ht="12.75">
      <c r="F569" s="105"/>
      <c r="G569" s="67"/>
    </row>
    <row r="570" spans="6:7" ht="12.75">
      <c r="F570" s="105"/>
      <c r="G570" s="67"/>
    </row>
    <row r="571" spans="6:7" ht="12.75">
      <c r="F571" s="105"/>
      <c r="G571" s="67"/>
    </row>
    <row r="572" spans="6:7" ht="12.75">
      <c r="F572" s="105"/>
      <c r="G572" s="67"/>
    </row>
    <row r="573" spans="6:7" ht="12.75">
      <c r="F573" s="105"/>
      <c r="G573" s="67"/>
    </row>
    <row r="574" spans="6:7" ht="12.75">
      <c r="F574" s="105"/>
      <c r="G574" s="67"/>
    </row>
    <row r="575" spans="6:7" ht="12.75">
      <c r="F575" s="105"/>
      <c r="G575" s="67"/>
    </row>
    <row r="576" spans="6:7" ht="12.75">
      <c r="F576" s="105"/>
      <c r="G576" s="67"/>
    </row>
    <row r="577" spans="6:7" ht="12.75">
      <c r="F577" s="105"/>
      <c r="G577" s="67"/>
    </row>
    <row r="578" spans="6:7" ht="12.75">
      <c r="F578" s="105"/>
      <c r="G578" s="67"/>
    </row>
    <row r="579" spans="6:7" ht="12.75">
      <c r="F579" s="105"/>
      <c r="G579" s="67"/>
    </row>
    <row r="580" spans="6:7" ht="12.75">
      <c r="F580" s="105"/>
      <c r="G580" s="67"/>
    </row>
    <row r="581" spans="6:7" ht="12.75">
      <c r="F581" s="105"/>
      <c r="G581" s="67"/>
    </row>
    <row r="582" spans="6:7" ht="12.75">
      <c r="F582" s="105"/>
      <c r="G582" s="67"/>
    </row>
    <row r="583" spans="6:7" ht="12.75">
      <c r="F583" s="105"/>
      <c r="G583" s="67"/>
    </row>
    <row r="584" spans="6:7" ht="12.75">
      <c r="F584" s="105"/>
      <c r="G584" s="67"/>
    </row>
    <row r="585" spans="6:7" ht="12.75">
      <c r="F585" s="105"/>
      <c r="G585" s="67"/>
    </row>
    <row r="586" spans="6:7" ht="12.75">
      <c r="F586" s="105"/>
      <c r="G586" s="67"/>
    </row>
    <row r="587" spans="6:7" ht="12.75">
      <c r="F587" s="105"/>
      <c r="G587" s="67"/>
    </row>
    <row r="588" spans="6:7" ht="12.75">
      <c r="F588" s="105"/>
      <c r="G588" s="67"/>
    </row>
    <row r="589" spans="6:7" ht="12.75">
      <c r="F589" s="105"/>
      <c r="G589" s="67"/>
    </row>
    <row r="590" spans="6:7" ht="12.75">
      <c r="F590" s="105"/>
      <c r="G590" s="67"/>
    </row>
    <row r="591" spans="6:7" ht="12.75">
      <c r="F591" s="105"/>
      <c r="G591" s="67"/>
    </row>
    <row r="592" spans="6:7" ht="12.75">
      <c r="F592" s="105"/>
      <c r="G592" s="67"/>
    </row>
    <row r="593" spans="6:7" ht="12.75">
      <c r="F593" s="105"/>
      <c r="G593" s="67"/>
    </row>
    <row r="594" spans="6:7" ht="12.75">
      <c r="F594" s="105"/>
      <c r="G594" s="67"/>
    </row>
    <row r="595" spans="6:7" ht="12.75">
      <c r="F595" s="105"/>
      <c r="G595" s="67"/>
    </row>
    <row r="596" spans="6:7" ht="12.75">
      <c r="F596" s="105"/>
      <c r="G596" s="67"/>
    </row>
    <row r="597" spans="6:7" ht="12.75">
      <c r="F597" s="105"/>
      <c r="G597" s="67"/>
    </row>
    <row r="598" spans="6:7" ht="12.75">
      <c r="F598" s="105"/>
      <c r="G598" s="67"/>
    </row>
    <row r="599" spans="6:7" ht="12.75">
      <c r="F599" s="105"/>
      <c r="G599" s="67"/>
    </row>
    <row r="600" spans="6:7" ht="12.75">
      <c r="F600" s="105"/>
      <c r="G600" s="67"/>
    </row>
    <row r="601" spans="6:7" ht="12.75">
      <c r="F601" s="105"/>
      <c r="G601" s="67"/>
    </row>
    <row r="602" spans="6:7" ht="12.75">
      <c r="F602" s="105"/>
      <c r="G602" s="67"/>
    </row>
    <row r="603" spans="6:7" ht="12.75">
      <c r="F603" s="105"/>
      <c r="G603" s="67"/>
    </row>
    <row r="604" spans="6:7" ht="12.75">
      <c r="F604" s="105"/>
      <c r="G604" s="67"/>
    </row>
    <row r="605" spans="6:7" ht="12.75">
      <c r="F605" s="105"/>
      <c r="G605" s="67"/>
    </row>
    <row r="606" spans="6:7" ht="12.75">
      <c r="F606" s="105"/>
      <c r="G606" s="67"/>
    </row>
    <row r="607" spans="6:7" ht="12.75">
      <c r="F607" s="105"/>
      <c r="G607" s="67"/>
    </row>
    <row r="608" spans="6:7" ht="12.75">
      <c r="F608" s="105"/>
      <c r="G608" s="67"/>
    </row>
    <row r="609" spans="6:7" ht="12.75">
      <c r="F609" s="105"/>
      <c r="G609" s="67"/>
    </row>
    <row r="610" spans="6:7" ht="12.75">
      <c r="F610" s="105"/>
      <c r="G610" s="67"/>
    </row>
    <row r="611" spans="6:7" ht="12.75">
      <c r="F611" s="105"/>
      <c r="G611" s="67"/>
    </row>
    <row r="612" spans="6:7" ht="12.75">
      <c r="F612" s="105"/>
      <c r="G612" s="67"/>
    </row>
  </sheetData>
  <mergeCells count="8">
    <mergeCell ref="A130:D130"/>
    <mergeCell ref="A6:G6"/>
    <mergeCell ref="A7:G7"/>
    <mergeCell ref="C111:C112"/>
    <mergeCell ref="D111:D112"/>
    <mergeCell ref="E111:E112"/>
    <mergeCell ref="F111:F112"/>
    <mergeCell ref="G111:G112"/>
  </mergeCells>
  <printOptions/>
  <pageMargins left="0.57" right="0.33" top="0.3" bottom="0.4" header="0.25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zoomScale="80" zoomScaleNormal="80" workbookViewId="0" topLeftCell="A1">
      <selection activeCell="K24" sqref="K24:L27"/>
    </sheetView>
  </sheetViews>
  <sheetFormatPr defaultColWidth="9.00390625" defaultRowHeight="12.75"/>
  <cols>
    <col min="1" max="1" width="5.00390625" style="99" customWidth="1"/>
    <col min="2" max="2" width="6.75390625" style="99" customWidth="1"/>
    <col min="3" max="3" width="31.00390625" style="99" customWidth="1"/>
    <col min="4" max="4" width="8.00390625" style="111" hidden="1" customWidth="1"/>
    <col min="5" max="5" width="12.25390625" style="99" customWidth="1"/>
    <col min="6" max="6" width="11.625" style="99" hidden="1" customWidth="1"/>
    <col min="7" max="7" width="12.125" style="99" hidden="1" customWidth="1"/>
    <col min="8" max="8" width="14.125" style="107" customWidth="1"/>
    <col min="9" max="9" width="8.625" style="99" customWidth="1"/>
    <col min="10" max="10" width="10.875" style="99" customWidth="1"/>
    <col min="11" max="11" width="2.875" style="99" customWidth="1"/>
    <col min="12" max="12" width="11.375" style="99" customWidth="1"/>
    <col min="13" max="13" width="14.375" style="99" customWidth="1"/>
    <col min="14" max="14" width="10.00390625" style="99" hidden="1" customWidth="1"/>
    <col min="15" max="15" width="11.125" style="99" customWidth="1"/>
    <col min="16" max="16" width="12.375" style="99" customWidth="1"/>
    <col min="17" max="17" width="13.00390625" style="99" customWidth="1"/>
    <col min="18" max="16384" width="9.125" style="99" customWidth="1"/>
  </cols>
  <sheetData>
    <row r="1" spans="13:17" ht="16.5" customHeight="1">
      <c r="M1" s="104"/>
      <c r="N1" s="104"/>
      <c r="O1" s="104"/>
      <c r="P1" s="104"/>
      <c r="Q1" s="75" t="s">
        <v>272</v>
      </c>
    </row>
    <row r="2" spans="13:17" ht="15" customHeight="1">
      <c r="M2" s="103"/>
      <c r="N2" s="103"/>
      <c r="O2" s="103"/>
      <c r="P2" s="103"/>
      <c r="Q2" s="103" t="s">
        <v>416</v>
      </c>
    </row>
    <row r="3" spans="13:17" ht="12" customHeight="1">
      <c r="M3" s="103"/>
      <c r="N3" s="103"/>
      <c r="O3" s="103"/>
      <c r="P3" s="103"/>
      <c r="Q3" s="103" t="s">
        <v>422</v>
      </c>
    </row>
    <row r="4" spans="14:16" ht="3.75" customHeight="1">
      <c r="N4" s="38"/>
      <c r="O4" s="38"/>
      <c r="P4" s="60"/>
    </row>
    <row r="5" spans="14:16" ht="1.5" customHeight="1">
      <c r="N5" s="38"/>
      <c r="O5" s="38"/>
      <c r="P5" s="60"/>
    </row>
    <row r="6" spans="14:16" ht="16.5" customHeight="1" hidden="1">
      <c r="N6" s="38"/>
      <c r="O6" s="38"/>
      <c r="P6" s="60"/>
    </row>
    <row r="7" spans="1:17" s="128" customFormat="1" ht="9" customHeight="1">
      <c r="A7" s="483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</row>
    <row r="8" spans="1:17" s="128" customFormat="1" ht="17.25" customHeight="1">
      <c r="A8" s="483" t="s">
        <v>23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</row>
    <row r="9" ht="15" customHeight="1">
      <c r="Q9" s="129" t="s">
        <v>161</v>
      </c>
    </row>
    <row r="10" spans="1:17" s="66" customFormat="1" ht="12.75">
      <c r="A10" s="478" t="s">
        <v>98</v>
      </c>
      <c r="B10" s="478" t="s">
        <v>99</v>
      </c>
      <c r="C10" s="478" t="s">
        <v>25</v>
      </c>
      <c r="D10" s="478" t="s">
        <v>242</v>
      </c>
      <c r="E10" s="478" t="s">
        <v>26</v>
      </c>
      <c r="F10" s="478" t="s">
        <v>243</v>
      </c>
      <c r="G10" s="478" t="s">
        <v>244</v>
      </c>
      <c r="H10" s="485" t="s">
        <v>33</v>
      </c>
      <c r="I10" s="486"/>
      <c r="J10" s="486"/>
      <c r="K10" s="486"/>
      <c r="L10" s="486"/>
      <c r="M10" s="486"/>
      <c r="N10" s="486"/>
      <c r="O10" s="486"/>
      <c r="P10" s="486"/>
      <c r="Q10" s="478" t="s">
        <v>245</v>
      </c>
    </row>
    <row r="11" spans="1:17" s="130" customFormat="1" ht="12.75" customHeight="1">
      <c r="A11" s="484"/>
      <c r="B11" s="484"/>
      <c r="C11" s="484"/>
      <c r="D11" s="479"/>
      <c r="E11" s="484"/>
      <c r="F11" s="484"/>
      <c r="G11" s="484"/>
      <c r="H11" s="478" t="s">
        <v>29</v>
      </c>
      <c r="I11" s="478" t="s">
        <v>34</v>
      </c>
      <c r="J11" s="480"/>
      <c r="K11" s="480"/>
      <c r="L11" s="480"/>
      <c r="M11" s="480"/>
      <c r="N11" s="478" t="s">
        <v>246</v>
      </c>
      <c r="O11" s="478" t="s">
        <v>69</v>
      </c>
      <c r="P11" s="478" t="s">
        <v>24</v>
      </c>
      <c r="Q11" s="479"/>
    </row>
    <row r="12" spans="1:17" s="130" customFormat="1" ht="48">
      <c r="A12" s="484"/>
      <c r="B12" s="484"/>
      <c r="C12" s="484"/>
      <c r="D12" s="479"/>
      <c r="E12" s="484"/>
      <c r="F12" s="484"/>
      <c r="G12" s="484"/>
      <c r="H12" s="478"/>
      <c r="I12" s="44" t="s">
        <v>30</v>
      </c>
      <c r="J12" s="44" t="s">
        <v>247</v>
      </c>
      <c r="K12" s="481" t="s">
        <v>31</v>
      </c>
      <c r="L12" s="482"/>
      <c r="M12" s="44" t="s">
        <v>32</v>
      </c>
      <c r="N12" s="478"/>
      <c r="O12" s="478"/>
      <c r="P12" s="478"/>
      <c r="Q12" s="479"/>
    </row>
    <row r="13" spans="1:17" s="130" customFormat="1" ht="12.75">
      <c r="A13" s="174" t="s">
        <v>106</v>
      </c>
      <c r="B13" s="174" t="s">
        <v>107</v>
      </c>
      <c r="C13" s="174" t="s">
        <v>108</v>
      </c>
      <c r="D13" s="174" t="s">
        <v>97</v>
      </c>
      <c r="E13" s="174" t="s">
        <v>97</v>
      </c>
      <c r="F13" s="174" t="s">
        <v>112</v>
      </c>
      <c r="G13" s="174" t="s">
        <v>116</v>
      </c>
      <c r="H13" s="174" t="s">
        <v>112</v>
      </c>
      <c r="I13" s="174" t="s">
        <v>116</v>
      </c>
      <c r="J13" s="174" t="s">
        <v>124</v>
      </c>
      <c r="K13" s="490" t="s">
        <v>133</v>
      </c>
      <c r="L13" s="491"/>
      <c r="M13" s="174" t="s">
        <v>190</v>
      </c>
      <c r="N13" s="174" t="s">
        <v>192</v>
      </c>
      <c r="O13" s="174" t="s">
        <v>192</v>
      </c>
      <c r="P13" s="174" t="s">
        <v>27</v>
      </c>
      <c r="Q13" s="174" t="s">
        <v>28</v>
      </c>
    </row>
    <row r="14" spans="1:17" s="110" customFormat="1" ht="15">
      <c r="A14" s="131">
        <v>600</v>
      </c>
      <c r="B14" s="131">
        <v>60014</v>
      </c>
      <c r="C14" s="63" t="s">
        <v>201</v>
      </c>
      <c r="D14" s="132"/>
      <c r="E14" s="316">
        <f aca="true" t="shared" si="0" ref="E14:J14">SUM(E15:E26)</f>
        <v>22218188</v>
      </c>
      <c r="F14" s="316">
        <f t="shared" si="0"/>
        <v>0</v>
      </c>
      <c r="G14" s="316">
        <f t="shared" si="0"/>
        <v>0</v>
      </c>
      <c r="H14" s="316">
        <f t="shared" si="0"/>
        <v>3139457</v>
      </c>
      <c r="I14" s="316">
        <f t="shared" si="0"/>
        <v>0</v>
      </c>
      <c r="J14" s="316">
        <f t="shared" si="0"/>
        <v>1000000</v>
      </c>
      <c r="K14" s="492">
        <f>SUM(K15:L26)</f>
        <v>39457</v>
      </c>
      <c r="L14" s="493"/>
      <c r="M14" s="316">
        <f>SUM(M15:M26)</f>
        <v>2100000</v>
      </c>
      <c r="N14" s="316">
        <f>SUM(N15:N26)</f>
        <v>0</v>
      </c>
      <c r="O14" s="316">
        <f>SUM(O15:O26)</f>
        <v>8112283</v>
      </c>
      <c r="P14" s="316">
        <f>SUM(P15:P26)</f>
        <v>5994423</v>
      </c>
      <c r="Q14" s="63"/>
    </row>
    <row r="15" spans="1:17" s="110" customFormat="1" ht="15" customHeight="1">
      <c r="A15" s="259"/>
      <c r="B15" s="133"/>
      <c r="C15" s="475" t="s">
        <v>302</v>
      </c>
      <c r="D15" s="425"/>
      <c r="E15" s="432">
        <v>2099570</v>
      </c>
      <c r="F15" s="432"/>
      <c r="G15" s="432"/>
      <c r="H15" s="432">
        <v>1000000</v>
      </c>
      <c r="I15" s="432">
        <v>0</v>
      </c>
      <c r="J15" s="435">
        <v>250000</v>
      </c>
      <c r="K15" s="428">
        <v>0</v>
      </c>
      <c r="L15" s="429"/>
      <c r="M15" s="487">
        <v>750000</v>
      </c>
      <c r="N15" s="432"/>
      <c r="O15" s="432">
        <f>2080310-1000000</f>
        <v>1080310</v>
      </c>
      <c r="P15" s="432">
        <v>0</v>
      </c>
      <c r="Q15" s="425" t="s">
        <v>248</v>
      </c>
    </row>
    <row r="16" spans="1:17" s="110" customFormat="1" ht="16.5" customHeight="1">
      <c r="A16" s="259"/>
      <c r="B16" s="133"/>
      <c r="C16" s="476"/>
      <c r="D16" s="426"/>
      <c r="E16" s="433"/>
      <c r="F16" s="433"/>
      <c r="G16" s="433"/>
      <c r="H16" s="433"/>
      <c r="I16" s="433"/>
      <c r="J16" s="436"/>
      <c r="K16" s="430"/>
      <c r="L16" s="431"/>
      <c r="M16" s="488"/>
      <c r="N16" s="433"/>
      <c r="O16" s="433"/>
      <c r="P16" s="433"/>
      <c r="Q16" s="426"/>
    </row>
    <row r="17" spans="1:17" s="110" customFormat="1" ht="12.75">
      <c r="A17" s="259"/>
      <c r="B17" s="133"/>
      <c r="C17" s="477"/>
      <c r="D17" s="427"/>
      <c r="E17" s="434"/>
      <c r="F17" s="434"/>
      <c r="G17" s="434"/>
      <c r="H17" s="434"/>
      <c r="I17" s="434"/>
      <c r="J17" s="437"/>
      <c r="K17" s="418"/>
      <c r="L17" s="419"/>
      <c r="M17" s="494"/>
      <c r="N17" s="434"/>
      <c r="O17" s="434"/>
      <c r="P17" s="434"/>
      <c r="Q17" s="426"/>
    </row>
    <row r="18" spans="1:17" s="110" customFormat="1" ht="14.25" customHeight="1">
      <c r="A18" s="259"/>
      <c r="B18" s="133"/>
      <c r="C18" s="475" t="s">
        <v>301</v>
      </c>
      <c r="D18" s="425"/>
      <c r="E18" s="432">
        <f>938441+39457</f>
        <v>977898</v>
      </c>
      <c r="F18" s="432"/>
      <c r="G18" s="432"/>
      <c r="H18" s="432">
        <f>SUM(I18:L20)</f>
        <v>269457</v>
      </c>
      <c r="I18" s="432">
        <v>0</v>
      </c>
      <c r="J18" s="435">
        <v>230000</v>
      </c>
      <c r="K18" s="428">
        <v>39457</v>
      </c>
      <c r="L18" s="429"/>
      <c r="M18" s="487">
        <v>0</v>
      </c>
      <c r="N18" s="432"/>
      <c r="O18" s="432">
        <v>0</v>
      </c>
      <c r="P18" s="432">
        <v>0</v>
      </c>
      <c r="Q18" s="426"/>
    </row>
    <row r="19" spans="1:17" s="110" customFormat="1" ht="12.75" customHeight="1">
      <c r="A19" s="259"/>
      <c r="B19" s="133"/>
      <c r="C19" s="476"/>
      <c r="D19" s="426"/>
      <c r="E19" s="433"/>
      <c r="F19" s="433"/>
      <c r="G19" s="433"/>
      <c r="H19" s="433"/>
      <c r="I19" s="433"/>
      <c r="J19" s="436"/>
      <c r="K19" s="430"/>
      <c r="L19" s="431"/>
      <c r="M19" s="488"/>
      <c r="N19" s="433"/>
      <c r="O19" s="433"/>
      <c r="P19" s="433"/>
      <c r="Q19" s="426"/>
    </row>
    <row r="20" spans="1:17" s="110" customFormat="1" ht="6" customHeight="1">
      <c r="A20" s="259"/>
      <c r="B20" s="133"/>
      <c r="C20" s="477"/>
      <c r="D20" s="427"/>
      <c r="E20" s="434"/>
      <c r="F20" s="434"/>
      <c r="G20" s="434"/>
      <c r="H20" s="434"/>
      <c r="I20" s="434"/>
      <c r="J20" s="437"/>
      <c r="K20" s="418"/>
      <c r="L20" s="419"/>
      <c r="M20" s="489"/>
      <c r="N20" s="434"/>
      <c r="O20" s="434"/>
      <c r="P20" s="434"/>
      <c r="Q20" s="426"/>
    </row>
    <row r="21" spans="1:17" s="110" customFormat="1" ht="36.75" customHeight="1">
      <c r="A21" s="259"/>
      <c r="B21" s="133"/>
      <c r="C21" s="475" t="s">
        <v>325</v>
      </c>
      <c r="D21" s="425"/>
      <c r="E21" s="432">
        <v>16250000</v>
      </c>
      <c r="F21" s="432"/>
      <c r="G21" s="432"/>
      <c r="H21" s="432">
        <v>1070000</v>
      </c>
      <c r="I21" s="432">
        <v>0</v>
      </c>
      <c r="J21" s="435">
        <v>320000</v>
      </c>
      <c r="K21" s="428">
        <v>0</v>
      </c>
      <c r="L21" s="429"/>
      <c r="M21" s="487">
        <v>750000</v>
      </c>
      <c r="N21" s="432"/>
      <c r="O21" s="432">
        <v>5941253</v>
      </c>
      <c r="P21" s="432">
        <v>4994423</v>
      </c>
      <c r="Q21" s="426"/>
    </row>
    <row r="22" spans="1:17" s="110" customFormat="1" ht="36.75" customHeight="1">
      <c r="A22" s="259"/>
      <c r="B22" s="133"/>
      <c r="C22" s="476"/>
      <c r="D22" s="426"/>
      <c r="E22" s="433"/>
      <c r="F22" s="433"/>
      <c r="G22" s="433"/>
      <c r="H22" s="433"/>
      <c r="I22" s="433"/>
      <c r="J22" s="436"/>
      <c r="K22" s="430"/>
      <c r="L22" s="431"/>
      <c r="M22" s="488"/>
      <c r="N22" s="433"/>
      <c r="O22" s="433"/>
      <c r="P22" s="433"/>
      <c r="Q22" s="426"/>
    </row>
    <row r="23" spans="1:17" s="110" customFormat="1" ht="36.75" customHeight="1">
      <c r="A23" s="259"/>
      <c r="B23" s="133"/>
      <c r="C23" s="477"/>
      <c r="D23" s="427"/>
      <c r="E23" s="434"/>
      <c r="F23" s="434"/>
      <c r="G23" s="434"/>
      <c r="H23" s="434"/>
      <c r="I23" s="434"/>
      <c r="J23" s="437"/>
      <c r="K23" s="418"/>
      <c r="L23" s="419"/>
      <c r="M23" s="489"/>
      <c r="N23" s="434"/>
      <c r="O23" s="434"/>
      <c r="P23" s="434"/>
      <c r="Q23" s="426"/>
    </row>
    <row r="24" spans="1:17" s="110" customFormat="1" ht="15.75" customHeight="1">
      <c r="A24" s="259"/>
      <c r="B24" s="133"/>
      <c r="C24" s="475" t="s">
        <v>303</v>
      </c>
      <c r="D24" s="425"/>
      <c r="E24" s="432">
        <v>2890720</v>
      </c>
      <c r="F24" s="432"/>
      <c r="G24" s="432"/>
      <c r="H24" s="432">
        <v>800000</v>
      </c>
      <c r="I24" s="432">
        <v>0</v>
      </c>
      <c r="J24" s="435">
        <v>200000</v>
      </c>
      <c r="K24" s="428">
        <v>0</v>
      </c>
      <c r="L24" s="429"/>
      <c r="M24" s="487">
        <v>600000</v>
      </c>
      <c r="N24" s="432"/>
      <c r="O24" s="432">
        <f>2890720-800000-1000000</f>
        <v>1090720</v>
      </c>
      <c r="P24" s="432">
        <v>1000000</v>
      </c>
      <c r="Q24" s="426"/>
    </row>
    <row r="25" spans="1:17" s="110" customFormat="1" ht="15.75" customHeight="1">
      <c r="A25" s="259"/>
      <c r="B25" s="133"/>
      <c r="C25" s="476"/>
      <c r="D25" s="426"/>
      <c r="E25" s="433"/>
      <c r="F25" s="433"/>
      <c r="G25" s="433"/>
      <c r="H25" s="433"/>
      <c r="I25" s="433"/>
      <c r="J25" s="436"/>
      <c r="K25" s="430"/>
      <c r="L25" s="431"/>
      <c r="M25" s="488"/>
      <c r="N25" s="433"/>
      <c r="O25" s="433"/>
      <c r="P25" s="433"/>
      <c r="Q25" s="426"/>
    </row>
    <row r="26" spans="1:17" s="110" customFormat="1" ht="15.75" customHeight="1">
      <c r="A26" s="259"/>
      <c r="B26" s="133"/>
      <c r="C26" s="477"/>
      <c r="D26" s="427"/>
      <c r="E26" s="434"/>
      <c r="F26" s="434"/>
      <c r="G26" s="434"/>
      <c r="H26" s="434"/>
      <c r="I26" s="434"/>
      <c r="J26" s="437"/>
      <c r="K26" s="418"/>
      <c r="L26" s="419"/>
      <c r="M26" s="489"/>
      <c r="N26" s="434"/>
      <c r="O26" s="434"/>
      <c r="P26" s="434"/>
      <c r="Q26" s="427"/>
    </row>
    <row r="27" spans="1:17" s="197" customFormat="1" ht="22.5" customHeight="1">
      <c r="A27" s="472" t="s">
        <v>70</v>
      </c>
      <c r="B27" s="473"/>
      <c r="C27" s="473"/>
      <c r="D27" s="474"/>
      <c r="E27" s="317">
        <f aca="true" t="shared" si="1" ref="E27:K27">SUM(E14)</f>
        <v>22218188</v>
      </c>
      <c r="F27" s="317">
        <f t="shared" si="1"/>
        <v>0</v>
      </c>
      <c r="G27" s="317">
        <f t="shared" si="1"/>
        <v>0</v>
      </c>
      <c r="H27" s="317">
        <f t="shared" si="1"/>
        <v>3139457</v>
      </c>
      <c r="I27" s="318">
        <f t="shared" si="1"/>
        <v>0</v>
      </c>
      <c r="J27" s="318">
        <f t="shared" si="1"/>
        <v>1000000</v>
      </c>
      <c r="K27" s="423">
        <f t="shared" si="1"/>
        <v>39457</v>
      </c>
      <c r="L27" s="424"/>
      <c r="M27" s="318">
        <f>SUM(M14)</f>
        <v>2100000</v>
      </c>
      <c r="N27" s="318">
        <f>SUM(N14)</f>
        <v>0</v>
      </c>
      <c r="O27" s="318">
        <f>SUM(O14)</f>
        <v>8112283</v>
      </c>
      <c r="P27" s="318">
        <f>SUM(P14)</f>
        <v>5994423</v>
      </c>
      <c r="Q27" s="196" t="s">
        <v>271</v>
      </c>
    </row>
    <row r="28" spans="1:17" ht="26.25" customHeight="1">
      <c r="A28" s="469" t="s">
        <v>35</v>
      </c>
      <c r="B28" s="470"/>
      <c r="C28" s="470"/>
      <c r="D28" s="471"/>
      <c r="E28" s="317">
        <f aca="true" t="shared" si="2" ref="E28:J28">SUM(E27)</f>
        <v>22218188</v>
      </c>
      <c r="F28" s="317">
        <f t="shared" si="2"/>
        <v>0</v>
      </c>
      <c r="G28" s="317">
        <f t="shared" si="2"/>
        <v>0</v>
      </c>
      <c r="H28" s="317">
        <f t="shared" si="2"/>
        <v>3139457</v>
      </c>
      <c r="I28" s="317">
        <f t="shared" si="2"/>
        <v>0</v>
      </c>
      <c r="J28" s="317">
        <f t="shared" si="2"/>
        <v>1000000</v>
      </c>
      <c r="K28" s="423">
        <f>SUM(K27)</f>
        <v>39457</v>
      </c>
      <c r="L28" s="424"/>
      <c r="M28" s="317">
        <f>SUM(M27)</f>
        <v>2100000</v>
      </c>
      <c r="N28" s="317">
        <f>SUM(N27)</f>
        <v>0</v>
      </c>
      <c r="O28" s="317">
        <f>SUM(O27)</f>
        <v>8112283</v>
      </c>
      <c r="P28" s="317">
        <f>SUM(P27)</f>
        <v>5994423</v>
      </c>
      <c r="Q28" s="196" t="s">
        <v>271</v>
      </c>
    </row>
  </sheetData>
  <mergeCells count="76">
    <mergeCell ref="K13:L13"/>
    <mergeCell ref="K14:L14"/>
    <mergeCell ref="M15:M17"/>
    <mergeCell ref="K15:L17"/>
    <mergeCell ref="I21:I23"/>
    <mergeCell ref="M18:M20"/>
    <mergeCell ref="M21:M23"/>
    <mergeCell ref="M24:M26"/>
    <mergeCell ref="J21:J23"/>
    <mergeCell ref="F24:F26"/>
    <mergeCell ref="O18:O20"/>
    <mergeCell ref="P18:P20"/>
    <mergeCell ref="O24:O26"/>
    <mergeCell ref="P24:P26"/>
    <mergeCell ref="O21:O23"/>
    <mergeCell ref="G24:G26"/>
    <mergeCell ref="H24:H26"/>
    <mergeCell ref="I24:I26"/>
    <mergeCell ref="J24:J26"/>
    <mergeCell ref="H15:H17"/>
    <mergeCell ref="I15:I17"/>
    <mergeCell ref="C18:C20"/>
    <mergeCell ref="D18:D20"/>
    <mergeCell ref="E18:E20"/>
    <mergeCell ref="F18:F20"/>
    <mergeCell ref="C15:C17"/>
    <mergeCell ref="D15:D17"/>
    <mergeCell ref="E15:E17"/>
    <mergeCell ref="F15:F17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A28:D28"/>
    <mergeCell ref="A27:D27"/>
    <mergeCell ref="N21:N23"/>
    <mergeCell ref="C21:C23"/>
    <mergeCell ref="D21:D23"/>
    <mergeCell ref="E21:E23"/>
    <mergeCell ref="F21:F23"/>
    <mergeCell ref="C24:C26"/>
    <mergeCell ref="D24:D26"/>
    <mergeCell ref="E24:E26"/>
    <mergeCell ref="K28:L28"/>
    <mergeCell ref="Q15:Q26"/>
    <mergeCell ref="K18:L20"/>
    <mergeCell ref="K21:L23"/>
    <mergeCell ref="K24:L26"/>
    <mergeCell ref="K27:L27"/>
    <mergeCell ref="P21:P23"/>
    <mergeCell ref="O15:O17"/>
    <mergeCell ref="N15:N17"/>
    <mergeCell ref="N24:N26"/>
    <mergeCell ref="P15:P17"/>
    <mergeCell ref="N18:N20"/>
    <mergeCell ref="G21:G23"/>
    <mergeCell ref="H21:H23"/>
    <mergeCell ref="J15:J17"/>
    <mergeCell ref="J18:J20"/>
    <mergeCell ref="G18:G20"/>
    <mergeCell ref="H18:H20"/>
    <mergeCell ref="I18:I20"/>
    <mergeCell ref="G15:G17"/>
  </mergeCells>
  <printOptions/>
  <pageMargins left="0.77" right="0.16" top="1.3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L50"/>
  <sheetViews>
    <sheetView workbookViewId="0" topLeftCell="A9">
      <pane ySplit="1530" topLeftCell="BM1" activePane="bottomLeft" state="split"/>
      <selection pane="topLeft" activeCell="A12" sqref="A1:IV16384"/>
      <selection pane="bottomLeft" activeCell="F18" sqref="F18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1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21" customHeight="1">
      <c r="E1" s="269"/>
      <c r="F1" s="269"/>
      <c r="L1" s="75" t="s">
        <v>408</v>
      </c>
    </row>
    <row r="2" spans="5:12" ht="13.5" customHeight="1">
      <c r="E2" s="270"/>
      <c r="F2" s="270"/>
      <c r="L2" s="103" t="s">
        <v>416</v>
      </c>
    </row>
    <row r="3" spans="5:12" ht="15.75" customHeight="1">
      <c r="E3" s="270"/>
      <c r="F3" s="270"/>
      <c r="L3" s="103" t="s">
        <v>422</v>
      </c>
    </row>
    <row r="4" ht="3" customHeight="1"/>
    <row r="5" spans="1:12" s="271" customFormat="1" ht="16.5">
      <c r="A5" s="535" t="s">
        <v>285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1:12" s="271" customFormat="1" ht="15" customHeight="1">
      <c r="A6" s="535" t="s">
        <v>0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</row>
    <row r="7" ht="3.75" customHeight="1"/>
    <row r="8" spans="1:12" s="263" customFormat="1" ht="10.5" customHeight="1">
      <c r="A8" s="525" t="s">
        <v>238</v>
      </c>
      <c r="B8" s="525"/>
      <c r="C8" s="525"/>
      <c r="D8" s="529" t="s">
        <v>22</v>
      </c>
      <c r="E8" s="530"/>
      <c r="F8" s="498" t="s">
        <v>282</v>
      </c>
      <c r="G8" s="498" t="s">
        <v>2</v>
      </c>
      <c r="H8" s="449" t="s">
        <v>273</v>
      </c>
      <c r="I8" s="449"/>
      <c r="J8" s="449"/>
      <c r="K8" s="449"/>
      <c r="L8" s="449"/>
    </row>
    <row r="9" spans="1:12" s="263" customFormat="1" ht="11.25" customHeight="1">
      <c r="A9" s="527" t="s">
        <v>98</v>
      </c>
      <c r="B9" s="527" t="s">
        <v>99</v>
      </c>
      <c r="C9" s="527" t="s">
        <v>194</v>
      </c>
      <c r="D9" s="531"/>
      <c r="E9" s="532"/>
      <c r="F9" s="499"/>
      <c r="G9" s="499"/>
      <c r="H9" s="449" t="s">
        <v>21</v>
      </c>
      <c r="I9" s="449" t="s">
        <v>274</v>
      </c>
      <c r="J9" s="449"/>
      <c r="K9" s="449"/>
      <c r="L9" s="449" t="s">
        <v>83</v>
      </c>
    </row>
    <row r="10" spans="1:12" s="263" customFormat="1" ht="29.25" customHeight="1">
      <c r="A10" s="528"/>
      <c r="B10" s="528"/>
      <c r="C10" s="528"/>
      <c r="D10" s="533"/>
      <c r="E10" s="534"/>
      <c r="F10" s="500"/>
      <c r="G10" s="500"/>
      <c r="H10" s="449"/>
      <c r="I10" s="260" t="s">
        <v>284</v>
      </c>
      <c r="J10" s="260" t="s">
        <v>283</v>
      </c>
      <c r="K10" s="260" t="s">
        <v>1</v>
      </c>
      <c r="L10" s="449"/>
    </row>
    <row r="11" spans="1:12" s="263" customFormat="1" ht="14.25" customHeight="1">
      <c r="A11" s="262">
        <v>1</v>
      </c>
      <c r="B11" s="262">
        <v>2</v>
      </c>
      <c r="C11" s="262">
        <v>3</v>
      </c>
      <c r="D11" s="525">
        <v>4</v>
      </c>
      <c r="E11" s="526"/>
      <c r="F11" s="264">
        <v>5</v>
      </c>
      <c r="G11" s="264">
        <v>6</v>
      </c>
      <c r="H11" s="264">
        <v>7</v>
      </c>
      <c r="I11" s="264">
        <v>8</v>
      </c>
      <c r="J11" s="264">
        <v>9</v>
      </c>
      <c r="K11" s="264">
        <v>10</v>
      </c>
      <c r="L11" s="264">
        <v>11</v>
      </c>
    </row>
    <row r="12" spans="1:12" s="124" customFormat="1" ht="26.25" customHeight="1">
      <c r="A12" s="501">
        <v>600</v>
      </c>
      <c r="B12" s="501">
        <v>60014</v>
      </c>
      <c r="C12" s="504">
        <v>2310</v>
      </c>
      <c r="D12" s="507" t="s">
        <v>3</v>
      </c>
      <c r="E12" s="520"/>
      <c r="F12" s="272" t="s">
        <v>179</v>
      </c>
      <c r="G12" s="273">
        <f>SUM(H12,L12)</f>
        <v>180830</v>
      </c>
      <c r="H12" s="274">
        <v>180830</v>
      </c>
      <c r="I12" s="275">
        <v>0</v>
      </c>
      <c r="J12" s="276">
        <v>0</v>
      </c>
      <c r="K12" s="276">
        <v>180830</v>
      </c>
      <c r="L12" s="276">
        <v>0</v>
      </c>
    </row>
    <row r="13" spans="1:12" s="124" customFormat="1" ht="11.25" customHeight="1">
      <c r="A13" s="502"/>
      <c r="B13" s="502"/>
      <c r="C13" s="505"/>
      <c r="D13" s="523" t="s">
        <v>7</v>
      </c>
      <c r="E13" s="524"/>
      <c r="F13" s="277"/>
      <c r="G13" s="277"/>
      <c r="H13" s="278"/>
      <c r="I13" s="279"/>
      <c r="J13" s="280"/>
      <c r="K13" s="280"/>
      <c r="L13" s="280"/>
    </row>
    <row r="14" spans="1:12" s="124" customFormat="1" ht="12.75" customHeight="1">
      <c r="A14" s="502"/>
      <c r="B14" s="502"/>
      <c r="C14" s="505"/>
      <c r="D14" s="523" t="s">
        <v>4</v>
      </c>
      <c r="E14" s="524"/>
      <c r="F14" s="277"/>
      <c r="G14" s="277"/>
      <c r="H14" s="278"/>
      <c r="I14" s="279"/>
      <c r="J14" s="280"/>
      <c r="K14" s="280"/>
      <c r="L14" s="280"/>
    </row>
    <row r="15" spans="1:12" s="124" customFormat="1" ht="12.75" customHeight="1">
      <c r="A15" s="502"/>
      <c r="B15" s="502"/>
      <c r="C15" s="505"/>
      <c r="D15" s="523" t="s">
        <v>6</v>
      </c>
      <c r="E15" s="524"/>
      <c r="F15" s="277"/>
      <c r="G15" s="277"/>
      <c r="H15" s="278"/>
      <c r="I15" s="279"/>
      <c r="J15" s="280"/>
      <c r="K15" s="280"/>
      <c r="L15" s="280"/>
    </row>
    <row r="16" spans="1:12" s="124" customFormat="1" ht="12.75" customHeight="1">
      <c r="A16" s="502"/>
      <c r="B16" s="502"/>
      <c r="C16" s="505"/>
      <c r="D16" s="523" t="s">
        <v>5</v>
      </c>
      <c r="E16" s="524"/>
      <c r="F16" s="277"/>
      <c r="G16" s="277"/>
      <c r="H16" s="278"/>
      <c r="I16" s="279"/>
      <c r="J16" s="280"/>
      <c r="K16" s="280"/>
      <c r="L16" s="280"/>
    </row>
    <row r="17" spans="1:12" s="124" customFormat="1" ht="35.25" customHeight="1">
      <c r="A17" s="503"/>
      <c r="B17" s="503"/>
      <c r="C17" s="506"/>
      <c r="D17" s="523" t="s">
        <v>10</v>
      </c>
      <c r="E17" s="524"/>
      <c r="F17" s="194"/>
      <c r="G17" s="194"/>
      <c r="H17" s="281"/>
      <c r="I17" s="282"/>
      <c r="J17" s="283"/>
      <c r="K17" s="283"/>
      <c r="L17" s="283"/>
    </row>
    <row r="18" spans="1:12" s="216" customFormat="1" ht="24.75" customHeight="1">
      <c r="A18" s="501">
        <v>600</v>
      </c>
      <c r="B18" s="501">
        <v>60014</v>
      </c>
      <c r="C18" s="504">
        <v>6610</v>
      </c>
      <c r="D18" s="507" t="s">
        <v>13</v>
      </c>
      <c r="E18" s="507"/>
      <c r="F18" s="120" t="s">
        <v>179</v>
      </c>
      <c r="G18" s="284">
        <v>100000</v>
      </c>
      <c r="H18" s="282">
        <v>0</v>
      </c>
      <c r="I18" s="282">
        <v>0</v>
      </c>
      <c r="J18" s="282">
        <v>0</v>
      </c>
      <c r="K18" s="282">
        <v>0</v>
      </c>
      <c r="L18" s="282">
        <v>100000</v>
      </c>
    </row>
    <row r="19" spans="1:12" s="216" customFormat="1" ht="26.25" customHeight="1">
      <c r="A19" s="502"/>
      <c r="B19" s="502"/>
      <c r="C19" s="505"/>
      <c r="D19" s="507" t="s">
        <v>304</v>
      </c>
      <c r="E19" s="507"/>
      <c r="F19" s="120" t="s">
        <v>179</v>
      </c>
      <c r="G19" s="284">
        <v>90000</v>
      </c>
      <c r="H19" s="282">
        <v>0</v>
      </c>
      <c r="I19" s="282">
        <v>0</v>
      </c>
      <c r="J19" s="282">
        <v>0</v>
      </c>
      <c r="K19" s="282">
        <v>0</v>
      </c>
      <c r="L19" s="282">
        <v>90000</v>
      </c>
    </row>
    <row r="20" spans="1:12" s="216" customFormat="1" ht="36.75" customHeight="1">
      <c r="A20" s="503"/>
      <c r="B20" s="503"/>
      <c r="C20" s="506"/>
      <c r="D20" s="507" t="s">
        <v>417</v>
      </c>
      <c r="E20" s="507"/>
      <c r="F20" s="120">
        <v>39457</v>
      </c>
      <c r="G20" s="120" t="s">
        <v>179</v>
      </c>
      <c r="H20" s="120" t="s">
        <v>179</v>
      </c>
      <c r="I20" s="120" t="s">
        <v>179</v>
      </c>
      <c r="J20" s="120" t="s">
        <v>179</v>
      </c>
      <c r="K20" s="120" t="s">
        <v>179</v>
      </c>
      <c r="L20" s="120" t="s">
        <v>179</v>
      </c>
    </row>
    <row r="21" spans="1:12" s="125" customFormat="1" ht="60" customHeight="1">
      <c r="A21" s="132">
        <v>750</v>
      </c>
      <c r="B21" s="132">
        <v>75018</v>
      </c>
      <c r="C21" s="132">
        <v>2330</v>
      </c>
      <c r="D21" s="507" t="s">
        <v>239</v>
      </c>
      <c r="E21" s="507"/>
      <c r="F21" s="195" t="s">
        <v>179</v>
      </c>
      <c r="G21" s="114">
        <v>6000</v>
      </c>
      <c r="H21" s="116">
        <v>6000</v>
      </c>
      <c r="I21" s="116">
        <v>0</v>
      </c>
      <c r="J21" s="116">
        <v>0</v>
      </c>
      <c r="K21" s="116">
        <v>6000</v>
      </c>
      <c r="L21" s="116">
        <v>0</v>
      </c>
    </row>
    <row r="22" spans="1:12" s="125" customFormat="1" ht="87" customHeight="1">
      <c r="A22" s="132">
        <v>750</v>
      </c>
      <c r="B22" s="132">
        <v>75020</v>
      </c>
      <c r="C22" s="132">
        <v>6630</v>
      </c>
      <c r="D22" s="513" t="s">
        <v>320</v>
      </c>
      <c r="E22" s="514"/>
      <c r="F22" s="195" t="s">
        <v>179</v>
      </c>
      <c r="G22" s="114">
        <v>110000</v>
      </c>
      <c r="H22" s="116">
        <v>0</v>
      </c>
      <c r="I22" s="116">
        <v>0</v>
      </c>
      <c r="J22" s="116">
        <v>0</v>
      </c>
      <c r="K22" s="116">
        <v>0</v>
      </c>
      <c r="L22" s="116">
        <v>110000</v>
      </c>
    </row>
    <row r="23" spans="1:12" s="125" customFormat="1" ht="39" customHeight="1">
      <c r="A23" s="122">
        <v>754</v>
      </c>
      <c r="B23" s="123">
        <v>75411</v>
      </c>
      <c r="C23" s="382">
        <v>2310</v>
      </c>
      <c r="D23" s="512" t="s">
        <v>410</v>
      </c>
      <c r="E23" s="522"/>
      <c r="F23" s="508">
        <v>23000</v>
      </c>
      <c r="G23" s="446"/>
      <c r="H23" s="446"/>
      <c r="I23" s="446"/>
      <c r="J23" s="446"/>
      <c r="K23" s="446"/>
      <c r="L23" s="446"/>
    </row>
    <row r="24" spans="1:12" s="125" customFormat="1" ht="49.5" customHeight="1">
      <c r="A24" s="383"/>
      <c r="B24" s="384"/>
      <c r="C24" s="385"/>
      <c r="D24" s="386">
        <v>1</v>
      </c>
      <c r="E24" s="102" t="s">
        <v>411</v>
      </c>
      <c r="F24" s="509"/>
      <c r="G24" s="447"/>
      <c r="H24" s="447"/>
      <c r="I24" s="447"/>
      <c r="J24" s="447"/>
      <c r="K24" s="447"/>
      <c r="L24" s="447"/>
    </row>
    <row r="25" spans="1:12" s="125" customFormat="1" ht="63" customHeight="1">
      <c r="A25" s="132">
        <v>801</v>
      </c>
      <c r="B25" s="132">
        <v>80120</v>
      </c>
      <c r="C25" s="132">
        <v>2310</v>
      </c>
      <c r="D25" s="507" t="s">
        <v>240</v>
      </c>
      <c r="E25" s="507"/>
      <c r="F25" s="195" t="s">
        <v>179</v>
      </c>
      <c r="G25" s="114">
        <v>14400</v>
      </c>
      <c r="H25" s="116">
        <v>14400</v>
      </c>
      <c r="I25" s="116">
        <v>0</v>
      </c>
      <c r="J25" s="116">
        <v>0</v>
      </c>
      <c r="K25" s="116">
        <v>14400</v>
      </c>
      <c r="L25" s="116">
        <v>0</v>
      </c>
    </row>
    <row r="26" spans="1:12" s="125" customFormat="1" ht="85.5" customHeight="1">
      <c r="A26" s="132">
        <v>801</v>
      </c>
      <c r="B26" s="132">
        <v>80120</v>
      </c>
      <c r="C26" s="132">
        <v>2310</v>
      </c>
      <c r="D26" s="507" t="s">
        <v>412</v>
      </c>
      <c r="E26" s="510"/>
      <c r="F26" s="114">
        <v>1000</v>
      </c>
      <c r="G26" s="195" t="s">
        <v>179</v>
      </c>
      <c r="H26" s="116" t="s">
        <v>179</v>
      </c>
      <c r="I26" s="116" t="s">
        <v>179</v>
      </c>
      <c r="J26" s="116" t="s">
        <v>179</v>
      </c>
      <c r="K26" s="116" t="s">
        <v>179</v>
      </c>
      <c r="L26" s="116" t="s">
        <v>179</v>
      </c>
    </row>
    <row r="27" spans="1:12" s="125" customFormat="1" ht="84.75" customHeight="1">
      <c r="A27" s="132">
        <v>801</v>
      </c>
      <c r="B27" s="132">
        <v>80130</v>
      </c>
      <c r="C27" s="132">
        <v>2310</v>
      </c>
      <c r="D27" s="507" t="s">
        <v>266</v>
      </c>
      <c r="E27" s="510"/>
      <c r="F27" s="114">
        <f>38000+1733</f>
        <v>39733</v>
      </c>
      <c r="G27" s="195" t="s">
        <v>179</v>
      </c>
      <c r="H27" s="116" t="s">
        <v>179</v>
      </c>
      <c r="I27" s="116" t="s">
        <v>179</v>
      </c>
      <c r="J27" s="116" t="s">
        <v>179</v>
      </c>
      <c r="K27" s="116" t="s">
        <v>179</v>
      </c>
      <c r="L27" s="116" t="s">
        <v>179</v>
      </c>
    </row>
    <row r="28" spans="1:12" s="125" customFormat="1" ht="25.5" customHeight="1">
      <c r="A28" s="132">
        <v>801</v>
      </c>
      <c r="B28" s="132">
        <v>80130</v>
      </c>
      <c r="C28" s="132">
        <v>2310</v>
      </c>
      <c r="D28" s="507" t="s">
        <v>14</v>
      </c>
      <c r="E28" s="507"/>
      <c r="F28" s="195"/>
      <c r="G28" s="114">
        <v>2800</v>
      </c>
      <c r="H28" s="116">
        <v>2800</v>
      </c>
      <c r="I28" s="116">
        <v>0</v>
      </c>
      <c r="J28" s="116">
        <v>0</v>
      </c>
      <c r="K28" s="116">
        <v>2800</v>
      </c>
      <c r="L28" s="116">
        <v>0</v>
      </c>
    </row>
    <row r="29" spans="1:12" s="125" customFormat="1" ht="54" customHeight="1">
      <c r="A29" s="132">
        <v>851</v>
      </c>
      <c r="B29" s="132">
        <v>85111</v>
      </c>
      <c r="C29" s="132">
        <v>6610</v>
      </c>
      <c r="D29" s="507" t="s">
        <v>327</v>
      </c>
      <c r="E29" s="507"/>
      <c r="F29" s="114">
        <v>45000</v>
      </c>
      <c r="G29" s="114" t="s">
        <v>179</v>
      </c>
      <c r="H29" s="114" t="s">
        <v>179</v>
      </c>
      <c r="I29" s="114" t="s">
        <v>179</v>
      </c>
      <c r="J29" s="114" t="s">
        <v>179</v>
      </c>
      <c r="K29" s="114" t="s">
        <v>179</v>
      </c>
      <c r="L29" s="114" t="s">
        <v>179</v>
      </c>
    </row>
    <row r="30" spans="1:12" s="125" customFormat="1" ht="54" customHeight="1">
      <c r="A30" s="501">
        <v>851</v>
      </c>
      <c r="B30" s="501">
        <v>85154</v>
      </c>
      <c r="C30" s="501">
        <v>2330</v>
      </c>
      <c r="D30" s="511" t="s">
        <v>409</v>
      </c>
      <c r="E30" s="512"/>
      <c r="F30" s="508">
        <v>15900</v>
      </c>
      <c r="G30" s="508" t="s">
        <v>179</v>
      </c>
      <c r="H30" s="508" t="s">
        <v>179</v>
      </c>
      <c r="I30" s="508" t="s">
        <v>179</v>
      </c>
      <c r="J30" s="508" t="s">
        <v>179</v>
      </c>
      <c r="K30" s="508" t="s">
        <v>179</v>
      </c>
      <c r="L30" s="508" t="s">
        <v>179</v>
      </c>
    </row>
    <row r="31" spans="1:12" s="125" customFormat="1" ht="60" customHeight="1">
      <c r="A31" s="503"/>
      <c r="B31" s="503"/>
      <c r="C31" s="503"/>
      <c r="D31" s="380">
        <v>1</v>
      </c>
      <c r="E31" s="381" t="s">
        <v>413</v>
      </c>
      <c r="F31" s="509"/>
      <c r="G31" s="509"/>
      <c r="H31" s="509"/>
      <c r="I31" s="509"/>
      <c r="J31" s="509"/>
      <c r="K31" s="509"/>
      <c r="L31" s="509"/>
    </row>
    <row r="32" spans="1:12" s="217" customFormat="1" ht="44.25" customHeight="1">
      <c r="A32" s="123">
        <v>852</v>
      </c>
      <c r="B32" s="123">
        <v>85201</v>
      </c>
      <c r="C32" s="123">
        <v>2310</v>
      </c>
      <c r="D32" s="507" t="s">
        <v>8</v>
      </c>
      <c r="E32" s="518"/>
      <c r="F32" s="273">
        <f>30164+26053</f>
        <v>56217</v>
      </c>
      <c r="G32" s="273" t="s">
        <v>179</v>
      </c>
      <c r="H32" s="274" t="s">
        <v>179</v>
      </c>
      <c r="I32" s="275" t="s">
        <v>179</v>
      </c>
      <c r="J32" s="276" t="s">
        <v>179</v>
      </c>
      <c r="K32" s="276" t="s">
        <v>179</v>
      </c>
      <c r="L32" s="276" t="s">
        <v>179</v>
      </c>
    </row>
    <row r="33" spans="1:12" s="217" customFormat="1" ht="12.75">
      <c r="A33" s="297"/>
      <c r="B33" s="297"/>
      <c r="C33" s="297"/>
      <c r="D33" s="265">
        <v>1</v>
      </c>
      <c r="E33" s="102" t="s">
        <v>328</v>
      </c>
      <c r="F33" s="277"/>
      <c r="G33" s="277"/>
      <c r="H33" s="278"/>
      <c r="I33" s="279"/>
      <c r="J33" s="280"/>
      <c r="K33" s="280"/>
      <c r="L33" s="280"/>
    </row>
    <row r="34" spans="1:12" s="217" customFormat="1" ht="22.5">
      <c r="A34" s="335"/>
      <c r="B34" s="335"/>
      <c r="C34" s="335"/>
      <c r="D34" s="265">
        <v>2</v>
      </c>
      <c r="E34" s="102" t="s">
        <v>329</v>
      </c>
      <c r="F34" s="277"/>
      <c r="G34" s="277"/>
      <c r="H34" s="278"/>
      <c r="I34" s="279"/>
      <c r="J34" s="280"/>
      <c r="K34" s="280"/>
      <c r="L34" s="280"/>
    </row>
    <row r="35" spans="1:12" s="217" customFormat="1" ht="36.75" customHeight="1">
      <c r="A35" s="501">
        <v>852</v>
      </c>
      <c r="B35" s="501">
        <v>85201</v>
      </c>
      <c r="C35" s="501">
        <v>2310</v>
      </c>
      <c r="D35" s="515" t="s">
        <v>319</v>
      </c>
      <c r="E35" s="517"/>
      <c r="F35" s="273" t="s">
        <v>179</v>
      </c>
      <c r="G35" s="273">
        <v>8327</v>
      </c>
      <c r="H35" s="274">
        <v>8327</v>
      </c>
      <c r="I35" s="275" t="s">
        <v>179</v>
      </c>
      <c r="J35" s="276" t="s">
        <v>179</v>
      </c>
      <c r="K35" s="276">
        <v>8327</v>
      </c>
      <c r="L35" s="276" t="s">
        <v>179</v>
      </c>
    </row>
    <row r="36" spans="1:12" s="217" customFormat="1" ht="12.75">
      <c r="A36" s="503"/>
      <c r="B36" s="503"/>
      <c r="C36" s="503"/>
      <c r="D36" s="336">
        <v>1</v>
      </c>
      <c r="E36" s="337" t="s">
        <v>318</v>
      </c>
      <c r="F36" s="194"/>
      <c r="G36" s="194"/>
      <c r="H36" s="281"/>
      <c r="I36" s="282"/>
      <c r="J36" s="283"/>
      <c r="K36" s="283"/>
      <c r="L36" s="283"/>
    </row>
    <row r="37" spans="1:12" s="217" customFormat="1" ht="57.75" customHeight="1">
      <c r="A37" s="132">
        <v>852</v>
      </c>
      <c r="B37" s="132">
        <v>85201</v>
      </c>
      <c r="C37" s="132">
        <v>2310</v>
      </c>
      <c r="D37" s="515" t="s">
        <v>317</v>
      </c>
      <c r="E37" s="516"/>
      <c r="F37" s="341">
        <v>31944</v>
      </c>
      <c r="G37" s="342" t="s">
        <v>179</v>
      </c>
      <c r="H37" s="343" t="s">
        <v>179</v>
      </c>
      <c r="I37" s="116" t="s">
        <v>179</v>
      </c>
      <c r="J37" s="344" t="s">
        <v>179</v>
      </c>
      <c r="K37" s="344" t="s">
        <v>179</v>
      </c>
      <c r="L37" s="344" t="s">
        <v>179</v>
      </c>
    </row>
    <row r="38" spans="1:12" s="217" customFormat="1" ht="66.75" customHeight="1">
      <c r="A38" s="132">
        <v>852</v>
      </c>
      <c r="B38" s="132">
        <v>85201</v>
      </c>
      <c r="C38" s="132">
        <v>2320</v>
      </c>
      <c r="D38" s="521" t="s">
        <v>15</v>
      </c>
      <c r="E38" s="522"/>
      <c r="F38" s="120"/>
      <c r="G38" s="284">
        <v>750000</v>
      </c>
      <c r="H38" s="282">
        <v>750000</v>
      </c>
      <c r="I38" s="282">
        <v>0</v>
      </c>
      <c r="J38" s="282">
        <v>0</v>
      </c>
      <c r="K38" s="282">
        <v>750000</v>
      </c>
      <c r="L38" s="282">
        <v>0</v>
      </c>
    </row>
    <row r="39" spans="1:12" s="217" customFormat="1" ht="36" customHeight="1">
      <c r="A39" s="132">
        <v>852</v>
      </c>
      <c r="B39" s="132">
        <v>85204</v>
      </c>
      <c r="C39" s="132">
        <v>2310</v>
      </c>
      <c r="D39" s="521" t="s">
        <v>268</v>
      </c>
      <c r="E39" s="522"/>
      <c r="F39" s="195" t="s">
        <v>179</v>
      </c>
      <c r="G39" s="114">
        <v>12000</v>
      </c>
      <c r="H39" s="116">
        <v>12000</v>
      </c>
      <c r="I39" s="116">
        <v>0</v>
      </c>
      <c r="J39" s="116">
        <v>0</v>
      </c>
      <c r="K39" s="116">
        <v>12000</v>
      </c>
      <c r="L39" s="116">
        <v>0</v>
      </c>
    </row>
    <row r="40" spans="1:12" s="217" customFormat="1" ht="49.5" customHeight="1">
      <c r="A40" s="501">
        <v>852</v>
      </c>
      <c r="B40" s="501">
        <v>85204</v>
      </c>
      <c r="C40" s="501">
        <v>2320</v>
      </c>
      <c r="D40" s="515" t="s">
        <v>16</v>
      </c>
      <c r="E40" s="517"/>
      <c r="F40" s="272" t="s">
        <v>179</v>
      </c>
      <c r="G40" s="273">
        <v>17300</v>
      </c>
      <c r="H40" s="274">
        <v>17300</v>
      </c>
      <c r="I40" s="275">
        <v>0</v>
      </c>
      <c r="J40" s="276">
        <v>0</v>
      </c>
      <c r="K40" s="276">
        <v>17300</v>
      </c>
      <c r="L40" s="276">
        <v>0</v>
      </c>
    </row>
    <row r="41" spans="1:12" s="217" customFormat="1" ht="12.75" customHeight="1">
      <c r="A41" s="502"/>
      <c r="B41" s="502"/>
      <c r="C41" s="502"/>
      <c r="D41" s="394">
        <v>1</v>
      </c>
      <c r="E41" s="388" t="s">
        <v>419</v>
      </c>
      <c r="F41" s="277"/>
      <c r="G41" s="395"/>
      <c r="H41" s="278"/>
      <c r="I41" s="279"/>
      <c r="J41" s="280"/>
      <c r="K41" s="280"/>
      <c r="L41" s="280"/>
    </row>
    <row r="42" spans="1:12" s="217" customFormat="1" ht="12.75" customHeight="1">
      <c r="A42" s="503"/>
      <c r="B42" s="503"/>
      <c r="C42" s="503"/>
      <c r="D42" s="394">
        <v>2</v>
      </c>
      <c r="E42" s="388" t="s">
        <v>420</v>
      </c>
      <c r="F42" s="194"/>
      <c r="G42" s="398"/>
      <c r="H42" s="281"/>
      <c r="I42" s="282"/>
      <c r="J42" s="283"/>
      <c r="K42" s="283"/>
      <c r="L42" s="283"/>
    </row>
    <row r="43" spans="1:12" s="217" customFormat="1" ht="37.5" customHeight="1">
      <c r="A43" s="501">
        <v>852</v>
      </c>
      <c r="B43" s="501">
        <v>85204</v>
      </c>
      <c r="C43" s="501">
        <v>2320</v>
      </c>
      <c r="D43" s="507" t="s">
        <v>9</v>
      </c>
      <c r="E43" s="520"/>
      <c r="F43" s="395">
        <f>84067-2337</f>
        <v>81730</v>
      </c>
      <c r="G43" s="395" t="s">
        <v>179</v>
      </c>
      <c r="H43" s="395" t="s">
        <v>179</v>
      </c>
      <c r="I43" s="396" t="s">
        <v>179</v>
      </c>
      <c r="J43" s="397" t="s">
        <v>179</v>
      </c>
      <c r="K43" s="397" t="s">
        <v>179</v>
      </c>
      <c r="L43" s="397" t="s">
        <v>179</v>
      </c>
    </row>
    <row r="44" spans="1:12" s="216" customFormat="1" ht="12.75">
      <c r="A44" s="502"/>
      <c r="B44" s="502"/>
      <c r="C44" s="502"/>
      <c r="D44" s="267">
        <v>1</v>
      </c>
      <c r="E44" s="268" t="s">
        <v>11</v>
      </c>
      <c r="F44" s="285"/>
      <c r="G44" s="285"/>
      <c r="H44" s="286"/>
      <c r="I44" s="287"/>
      <c r="J44" s="288"/>
      <c r="K44" s="288"/>
      <c r="L44" s="288"/>
    </row>
    <row r="45" spans="1:12" s="216" customFormat="1" ht="12.75">
      <c r="A45" s="502"/>
      <c r="B45" s="502"/>
      <c r="C45" s="502"/>
      <c r="D45" s="267">
        <v>2</v>
      </c>
      <c r="E45" s="268" t="s">
        <v>12</v>
      </c>
      <c r="F45" s="285"/>
      <c r="G45" s="285"/>
      <c r="H45" s="286"/>
      <c r="I45" s="287"/>
      <c r="J45" s="288"/>
      <c r="K45" s="288"/>
      <c r="L45" s="288"/>
    </row>
    <row r="46" spans="1:12" s="216" customFormat="1" ht="12.75">
      <c r="A46" s="503"/>
      <c r="B46" s="503"/>
      <c r="C46" s="503"/>
      <c r="D46" s="267">
        <v>3</v>
      </c>
      <c r="E46" s="268" t="s">
        <v>418</v>
      </c>
      <c r="F46" s="289"/>
      <c r="G46" s="289"/>
      <c r="H46" s="290"/>
      <c r="I46" s="291"/>
      <c r="J46" s="292"/>
      <c r="K46" s="292"/>
      <c r="L46" s="292"/>
    </row>
    <row r="47" spans="1:12" s="266" customFormat="1" ht="60" customHeight="1">
      <c r="A47" s="132">
        <v>921</v>
      </c>
      <c r="B47" s="132">
        <v>92116</v>
      </c>
      <c r="C47" s="132">
        <v>2310</v>
      </c>
      <c r="D47" s="507" t="s">
        <v>241</v>
      </c>
      <c r="E47" s="507"/>
      <c r="F47" s="284" t="s">
        <v>179</v>
      </c>
      <c r="G47" s="284">
        <v>40000</v>
      </c>
      <c r="H47" s="284">
        <v>40000</v>
      </c>
      <c r="I47" s="284">
        <v>0</v>
      </c>
      <c r="J47" s="284">
        <v>0</v>
      </c>
      <c r="K47" s="284">
        <v>40000</v>
      </c>
      <c r="L47" s="284">
        <v>0</v>
      </c>
    </row>
    <row r="48" spans="1:12" s="126" customFormat="1" ht="24" customHeight="1">
      <c r="A48" s="519" t="s">
        <v>168</v>
      </c>
      <c r="B48" s="519"/>
      <c r="C48" s="519"/>
      <c r="D48" s="519"/>
      <c r="E48" s="519"/>
      <c r="F48" s="74">
        <f aca="true" t="shared" si="0" ref="F48:L48">SUM(F12:F47)</f>
        <v>333981</v>
      </c>
      <c r="G48" s="74">
        <f t="shared" si="0"/>
        <v>1331657</v>
      </c>
      <c r="H48" s="74">
        <f t="shared" si="0"/>
        <v>1031657</v>
      </c>
      <c r="I48" s="74">
        <f t="shared" si="0"/>
        <v>0</v>
      </c>
      <c r="J48" s="74">
        <f t="shared" si="0"/>
        <v>0</v>
      </c>
      <c r="K48" s="74">
        <f t="shared" si="0"/>
        <v>1031657</v>
      </c>
      <c r="L48" s="74">
        <f t="shared" si="0"/>
        <v>300000</v>
      </c>
    </row>
    <row r="50" ht="12.75">
      <c r="F50" s="340"/>
    </row>
  </sheetData>
  <mergeCells count="73">
    <mergeCell ref="D12:E12"/>
    <mergeCell ref="A5:L5"/>
    <mergeCell ref="A6:L6"/>
    <mergeCell ref="A12:A17"/>
    <mergeCell ref="B12:B17"/>
    <mergeCell ref="C12:C17"/>
    <mergeCell ref="H8:L8"/>
    <mergeCell ref="I9:K9"/>
    <mergeCell ref="L9:L10"/>
    <mergeCell ref="A9:A10"/>
    <mergeCell ref="A8:C8"/>
    <mergeCell ref="H9:H10"/>
    <mergeCell ref="D11:E11"/>
    <mergeCell ref="B9:B10"/>
    <mergeCell ref="C9:C10"/>
    <mergeCell ref="D8:E10"/>
    <mergeCell ref="F8:F10"/>
    <mergeCell ref="G8:G10"/>
    <mergeCell ref="D39:E39"/>
    <mergeCell ref="D47:E47"/>
    <mergeCell ref="D38:E38"/>
    <mergeCell ref="D13:E13"/>
    <mergeCell ref="D18:E18"/>
    <mergeCell ref="D14:E14"/>
    <mergeCell ref="D15:E15"/>
    <mergeCell ref="D16:E16"/>
    <mergeCell ref="D17:E17"/>
    <mergeCell ref="D23:E23"/>
    <mergeCell ref="A40:A42"/>
    <mergeCell ref="B40:B42"/>
    <mergeCell ref="C40:C42"/>
    <mergeCell ref="A48:E48"/>
    <mergeCell ref="B43:B46"/>
    <mergeCell ref="A43:A46"/>
    <mergeCell ref="D40:E40"/>
    <mergeCell ref="D43:E43"/>
    <mergeCell ref="C43:C46"/>
    <mergeCell ref="D21:E21"/>
    <mergeCell ref="D22:E22"/>
    <mergeCell ref="D37:E37"/>
    <mergeCell ref="D35:E35"/>
    <mergeCell ref="D25:E25"/>
    <mergeCell ref="D28:E28"/>
    <mergeCell ref="D32:E32"/>
    <mergeCell ref="D27:E27"/>
    <mergeCell ref="B30:B31"/>
    <mergeCell ref="C30:C31"/>
    <mergeCell ref="A35:A36"/>
    <mergeCell ref="B35:B36"/>
    <mergeCell ref="C35:C36"/>
    <mergeCell ref="A30:A31"/>
    <mergeCell ref="J30:J31"/>
    <mergeCell ref="K30:K31"/>
    <mergeCell ref="L30:L31"/>
    <mergeCell ref="D26:E26"/>
    <mergeCell ref="F30:F31"/>
    <mergeCell ref="G30:G31"/>
    <mergeCell ref="H30:H31"/>
    <mergeCell ref="I30:I31"/>
    <mergeCell ref="D30:E30"/>
    <mergeCell ref="D29:E29"/>
    <mergeCell ref="J23:J24"/>
    <mergeCell ref="K23:K24"/>
    <mergeCell ref="L23:L24"/>
    <mergeCell ref="F23:F24"/>
    <mergeCell ref="G23:G24"/>
    <mergeCell ref="H23:H24"/>
    <mergeCell ref="I23:I24"/>
    <mergeCell ref="A18:A20"/>
    <mergeCell ref="B18:B20"/>
    <mergeCell ref="C18:C20"/>
    <mergeCell ref="D20:E20"/>
    <mergeCell ref="D19:E19"/>
  </mergeCells>
  <printOptions/>
  <pageMargins left="0.77" right="0.61" top="0.86" bottom="0.59" header="0.21" footer="0.36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L32"/>
  <sheetViews>
    <sheetView zoomScale="95" zoomScaleNormal="95" workbookViewId="0" topLeftCell="A1">
      <selection activeCell="E22" sqref="E22"/>
    </sheetView>
  </sheetViews>
  <sheetFormatPr defaultColWidth="9.00390625" defaultRowHeight="12.75"/>
  <cols>
    <col min="1" max="1" width="3.375" style="50" customWidth="1"/>
    <col min="2" max="2" width="36.875" style="50" customWidth="1"/>
    <col min="3" max="3" width="12.625" style="50" customWidth="1"/>
    <col min="4" max="4" width="12.375" style="50" customWidth="1"/>
    <col min="5" max="7" width="11.00390625" style="50" customWidth="1"/>
    <col min="8" max="8" width="12.25390625" style="50" customWidth="1"/>
    <col min="9" max="9" width="9.25390625" style="50" customWidth="1"/>
    <col min="10" max="10" width="8.00390625" style="50" customWidth="1"/>
    <col min="11" max="11" width="4.25390625" style="50" customWidth="1"/>
    <col min="12" max="12" width="13.75390625" style="50" customWidth="1"/>
    <col min="13" max="16384" width="9.125" style="50" customWidth="1"/>
  </cols>
  <sheetData>
    <row r="1" spans="4:12" ht="13.5" customHeight="1">
      <c r="D1" s="189"/>
      <c r="E1" s="190"/>
      <c r="F1" s="190"/>
      <c r="G1" s="190"/>
      <c r="H1" s="191"/>
      <c r="L1" s="104" t="s">
        <v>281</v>
      </c>
    </row>
    <row r="2" spans="4:12" ht="13.5" customHeight="1">
      <c r="D2" s="192"/>
      <c r="E2" s="191"/>
      <c r="F2" s="191"/>
      <c r="G2" s="191"/>
      <c r="H2" s="190"/>
      <c r="L2" s="103" t="s">
        <v>414</v>
      </c>
    </row>
    <row r="3" spans="4:12" ht="13.5" customHeight="1">
      <c r="D3" s="192"/>
      <c r="E3" s="191"/>
      <c r="F3" s="191"/>
      <c r="G3" s="191"/>
      <c r="H3" s="190"/>
      <c r="I3" s="51"/>
      <c r="J3" s="52"/>
      <c r="L3" s="103" t="s">
        <v>422</v>
      </c>
    </row>
    <row r="4" spans="1:12" ht="16.5" customHeight="1">
      <c r="A4" s="541" t="s">
        <v>291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</row>
    <row r="5" spans="1:12" ht="14.25" customHeight="1">
      <c r="A5" s="541" t="s">
        <v>292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</row>
    <row r="6" spans="2:12" ht="12.75" customHeight="1">
      <c r="B6" s="53"/>
      <c r="I6" s="193"/>
      <c r="J6" s="193"/>
      <c r="L6" s="193" t="s">
        <v>158</v>
      </c>
    </row>
    <row r="7" spans="1:12" s="40" customFormat="1" ht="15.75" customHeight="1">
      <c r="A7" s="498" t="s">
        <v>164</v>
      </c>
      <c r="B7" s="504" t="s">
        <v>96</v>
      </c>
      <c r="C7" s="498" t="s">
        <v>17</v>
      </c>
      <c r="D7" s="536" t="s">
        <v>68</v>
      </c>
      <c r="E7" s="537"/>
      <c r="F7" s="537"/>
      <c r="G7" s="538"/>
      <c r="H7" s="450" t="s">
        <v>102</v>
      </c>
      <c r="I7" s="450"/>
      <c r="J7" s="545" t="s">
        <v>286</v>
      </c>
      <c r="K7" s="546"/>
      <c r="L7" s="498" t="s">
        <v>287</v>
      </c>
    </row>
    <row r="8" spans="1:12" s="40" customFormat="1" ht="11.25" customHeight="1">
      <c r="A8" s="499"/>
      <c r="B8" s="505"/>
      <c r="C8" s="499"/>
      <c r="D8" s="498" t="s">
        <v>175</v>
      </c>
      <c r="E8" s="536" t="s">
        <v>273</v>
      </c>
      <c r="F8" s="537"/>
      <c r="G8" s="538"/>
      <c r="H8" s="39"/>
      <c r="I8" s="39"/>
      <c r="J8" s="547"/>
      <c r="K8" s="548"/>
      <c r="L8" s="499"/>
    </row>
    <row r="9" spans="1:12" s="42" customFormat="1" ht="11.25" customHeight="1">
      <c r="A9" s="499"/>
      <c r="B9" s="505"/>
      <c r="C9" s="499"/>
      <c r="D9" s="499"/>
      <c r="E9" s="542" t="s">
        <v>176</v>
      </c>
      <c r="F9" s="539" t="s">
        <v>273</v>
      </c>
      <c r="G9" s="540"/>
      <c r="H9" s="498" t="s">
        <v>175</v>
      </c>
      <c r="I9" s="542" t="s">
        <v>177</v>
      </c>
      <c r="J9" s="547"/>
      <c r="K9" s="548"/>
      <c r="L9" s="499"/>
    </row>
    <row r="10" spans="1:12" s="42" customFormat="1" ht="18" customHeight="1">
      <c r="A10" s="500"/>
      <c r="B10" s="505"/>
      <c r="C10" s="499"/>
      <c r="D10" s="499"/>
      <c r="E10" s="543"/>
      <c r="F10" s="294" t="s">
        <v>288</v>
      </c>
      <c r="G10" s="294" t="s">
        <v>289</v>
      </c>
      <c r="H10" s="500"/>
      <c r="I10" s="544"/>
      <c r="J10" s="549"/>
      <c r="K10" s="550"/>
      <c r="L10" s="500"/>
    </row>
    <row r="11" spans="1:12" s="40" customFormat="1" ht="12.7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539">
        <v>10</v>
      </c>
      <c r="K11" s="540"/>
      <c r="L11" s="41">
        <v>11</v>
      </c>
    </row>
    <row r="12" spans="1:12" s="47" customFormat="1" ht="16.5" customHeight="1">
      <c r="A12" s="44" t="s">
        <v>178</v>
      </c>
      <c r="B12" s="45" t="s">
        <v>181</v>
      </c>
      <c r="C12" s="69">
        <f aca="true" t="shared" si="0" ref="C12:I12">SUM(C13:C15)</f>
        <v>1228375</v>
      </c>
      <c r="D12" s="69">
        <f t="shared" si="0"/>
        <v>3068000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3064939</v>
      </c>
      <c r="I12" s="69">
        <f t="shared" si="0"/>
        <v>3061</v>
      </c>
      <c r="J12" s="554">
        <f aca="true" t="shared" si="1" ref="J12:J19">C12+D12-H12</f>
        <v>1231436</v>
      </c>
      <c r="K12" s="554"/>
      <c r="L12" s="69">
        <f>SUM(L13:L15)</f>
        <v>185710.65</v>
      </c>
    </row>
    <row r="13" spans="1:12" s="40" customFormat="1" ht="24">
      <c r="A13" s="41" t="s">
        <v>106</v>
      </c>
      <c r="B13" s="399" t="s">
        <v>182</v>
      </c>
      <c r="C13" s="70">
        <v>1054681</v>
      </c>
      <c r="D13" s="70">
        <v>980000</v>
      </c>
      <c r="E13" s="70" t="s">
        <v>179</v>
      </c>
      <c r="F13" s="70" t="s">
        <v>179</v>
      </c>
      <c r="G13" s="70" t="s">
        <v>179</v>
      </c>
      <c r="H13" s="70">
        <f>977308+1346</f>
        <v>978654</v>
      </c>
      <c r="I13" s="70">
        <v>1346</v>
      </c>
      <c r="J13" s="551">
        <f t="shared" si="1"/>
        <v>1056027</v>
      </c>
      <c r="K13" s="552"/>
      <c r="L13" s="406">
        <v>186.05</v>
      </c>
    </row>
    <row r="14" spans="1:12" s="40" customFormat="1" ht="24">
      <c r="A14" s="41" t="s">
        <v>107</v>
      </c>
      <c r="B14" s="399" t="s">
        <v>183</v>
      </c>
      <c r="C14" s="70">
        <v>152215</v>
      </c>
      <c r="D14" s="70">
        <v>1980000</v>
      </c>
      <c r="E14" s="70" t="s">
        <v>179</v>
      </c>
      <c r="F14" s="70" t="s">
        <v>179</v>
      </c>
      <c r="G14" s="70" t="s">
        <v>179</v>
      </c>
      <c r="H14" s="70">
        <v>1980000</v>
      </c>
      <c r="I14" s="70" t="s">
        <v>179</v>
      </c>
      <c r="J14" s="551">
        <f t="shared" si="1"/>
        <v>152215</v>
      </c>
      <c r="K14" s="552"/>
      <c r="L14" s="406">
        <v>181352.9</v>
      </c>
    </row>
    <row r="15" spans="1:12" s="40" customFormat="1" ht="25.5">
      <c r="A15" s="41" t="s">
        <v>108</v>
      </c>
      <c r="B15" s="48" t="s">
        <v>184</v>
      </c>
      <c r="C15" s="70">
        <v>21479</v>
      </c>
      <c r="D15" s="70">
        <v>108000</v>
      </c>
      <c r="E15" s="70" t="s">
        <v>179</v>
      </c>
      <c r="F15" s="70" t="s">
        <v>179</v>
      </c>
      <c r="G15" s="70" t="s">
        <v>179</v>
      </c>
      <c r="H15" s="70">
        <f>104570+1715</f>
        <v>106285</v>
      </c>
      <c r="I15" s="70">
        <v>1715</v>
      </c>
      <c r="J15" s="551">
        <f t="shared" si="1"/>
        <v>23194</v>
      </c>
      <c r="K15" s="552"/>
      <c r="L15" s="70">
        <v>4171.7</v>
      </c>
    </row>
    <row r="16" spans="1:12" s="57" customFormat="1" ht="19.5" customHeight="1">
      <c r="A16" s="55" t="s">
        <v>180</v>
      </c>
      <c r="B16" s="56" t="s">
        <v>270</v>
      </c>
      <c r="C16" s="74">
        <f>SUM(C17:C27)</f>
        <v>277450</v>
      </c>
      <c r="D16" s="74">
        <f>SUM(D17:D27)</f>
        <v>1306967</v>
      </c>
      <c r="E16" s="295">
        <f>SUM(E17:E26)</f>
        <v>0</v>
      </c>
      <c r="F16" s="295">
        <f>SUM(F17:F26)</f>
        <v>0</v>
      </c>
      <c r="G16" s="295">
        <f>SUM(G17:G26)</f>
        <v>0</v>
      </c>
      <c r="H16" s="295">
        <f>SUM(H17:H27)</f>
        <v>1391093</v>
      </c>
      <c r="I16" s="295">
        <f>SUM(I17:I26)</f>
        <v>0</v>
      </c>
      <c r="J16" s="554">
        <f t="shared" si="1"/>
        <v>193324</v>
      </c>
      <c r="K16" s="554"/>
      <c r="L16" s="295">
        <f>SUM(L17:L26)</f>
        <v>0</v>
      </c>
    </row>
    <row r="17" spans="1:12" s="58" customFormat="1" ht="15.75" customHeight="1">
      <c r="A17" s="400" t="s">
        <v>106</v>
      </c>
      <c r="B17" s="401" t="s">
        <v>185</v>
      </c>
      <c r="C17" s="70">
        <v>62605</v>
      </c>
      <c r="D17" s="402">
        <v>36980</v>
      </c>
      <c r="E17" s="403" t="s">
        <v>179</v>
      </c>
      <c r="F17" s="403" t="s">
        <v>179</v>
      </c>
      <c r="G17" s="403" t="s">
        <v>179</v>
      </c>
      <c r="H17" s="402">
        <v>99585</v>
      </c>
      <c r="I17" s="403" t="s">
        <v>179</v>
      </c>
      <c r="J17" s="551">
        <f t="shared" si="1"/>
        <v>0</v>
      </c>
      <c r="K17" s="552"/>
      <c r="L17" s="405">
        <v>0</v>
      </c>
    </row>
    <row r="18" spans="1:12" s="58" customFormat="1" ht="24" customHeight="1">
      <c r="A18" s="400" t="s">
        <v>107</v>
      </c>
      <c r="B18" s="399" t="s">
        <v>415</v>
      </c>
      <c r="C18" s="70">
        <v>0</v>
      </c>
      <c r="D18" s="402">
        <v>4676</v>
      </c>
      <c r="E18" s="403" t="s">
        <v>179</v>
      </c>
      <c r="F18" s="403" t="s">
        <v>179</v>
      </c>
      <c r="G18" s="403" t="s">
        <v>179</v>
      </c>
      <c r="H18" s="402">
        <v>4676</v>
      </c>
      <c r="I18" s="403" t="s">
        <v>179</v>
      </c>
      <c r="J18" s="551">
        <f t="shared" si="1"/>
        <v>0</v>
      </c>
      <c r="K18" s="552"/>
      <c r="L18" s="405">
        <v>0</v>
      </c>
    </row>
    <row r="19" spans="1:12" s="58" customFormat="1" ht="14.25" customHeight="1">
      <c r="A19" s="400" t="s">
        <v>108</v>
      </c>
      <c r="B19" s="401" t="s">
        <v>186</v>
      </c>
      <c r="C19" s="70">
        <v>27638</v>
      </c>
      <c r="D19" s="402">
        <v>30825</v>
      </c>
      <c r="E19" s="403" t="s">
        <v>179</v>
      </c>
      <c r="F19" s="403" t="s">
        <v>179</v>
      </c>
      <c r="G19" s="403" t="s">
        <v>179</v>
      </c>
      <c r="H19" s="402">
        <v>30800</v>
      </c>
      <c r="I19" s="403" t="s">
        <v>179</v>
      </c>
      <c r="J19" s="551">
        <f t="shared" si="1"/>
        <v>27663</v>
      </c>
      <c r="K19" s="552"/>
      <c r="L19" s="405">
        <v>0</v>
      </c>
    </row>
    <row r="20" spans="1:12" s="40" customFormat="1" ht="25.5" customHeight="1">
      <c r="A20" s="400" t="s">
        <v>97</v>
      </c>
      <c r="B20" s="399" t="s">
        <v>290</v>
      </c>
      <c r="C20" s="70">
        <v>14482</v>
      </c>
      <c r="D20" s="404">
        <v>281800</v>
      </c>
      <c r="E20" s="404" t="s">
        <v>179</v>
      </c>
      <c r="F20" s="404" t="s">
        <v>179</v>
      </c>
      <c r="G20" s="404" t="s">
        <v>179</v>
      </c>
      <c r="H20" s="404">
        <v>278420</v>
      </c>
      <c r="I20" s="404" t="s">
        <v>179</v>
      </c>
      <c r="J20" s="551">
        <f aca="true" t="shared" si="2" ref="J20:J26">C20+D20-H20</f>
        <v>17862</v>
      </c>
      <c r="K20" s="552"/>
      <c r="L20" s="405">
        <v>0</v>
      </c>
    </row>
    <row r="21" spans="1:12" s="40" customFormat="1" ht="16.5" customHeight="1">
      <c r="A21" s="400" t="s">
        <v>112</v>
      </c>
      <c r="B21" s="399" t="s">
        <v>187</v>
      </c>
      <c r="C21" s="70">
        <v>18567</v>
      </c>
      <c r="D21" s="404">
        <f>235400+50100</f>
        <v>285500</v>
      </c>
      <c r="E21" s="404" t="s">
        <v>179</v>
      </c>
      <c r="F21" s="404" t="s">
        <v>179</v>
      </c>
      <c r="G21" s="404" t="s">
        <v>179</v>
      </c>
      <c r="H21" s="404">
        <f>233400+50100</f>
        <v>283500</v>
      </c>
      <c r="I21" s="404" t="s">
        <v>179</v>
      </c>
      <c r="J21" s="551">
        <f t="shared" si="2"/>
        <v>20567</v>
      </c>
      <c r="K21" s="552"/>
      <c r="L21" s="405">
        <v>0</v>
      </c>
    </row>
    <row r="22" spans="1:12" s="40" customFormat="1" ht="25.5" customHeight="1">
      <c r="A22" s="400" t="s">
        <v>116</v>
      </c>
      <c r="B22" s="399" t="s">
        <v>188</v>
      </c>
      <c r="C22" s="70">
        <v>14680</v>
      </c>
      <c r="D22" s="404">
        <v>76500</v>
      </c>
      <c r="E22" s="404" t="s">
        <v>179</v>
      </c>
      <c r="F22" s="404" t="s">
        <v>179</v>
      </c>
      <c r="G22" s="404" t="s">
        <v>179</v>
      </c>
      <c r="H22" s="404">
        <v>73825</v>
      </c>
      <c r="I22" s="404" t="s">
        <v>179</v>
      </c>
      <c r="J22" s="551">
        <f t="shared" si="2"/>
        <v>17355</v>
      </c>
      <c r="K22" s="552"/>
      <c r="L22" s="405">
        <v>0</v>
      </c>
    </row>
    <row r="23" spans="1:12" s="40" customFormat="1" ht="16.5" customHeight="1">
      <c r="A23" s="400" t="s">
        <v>124</v>
      </c>
      <c r="B23" s="399" t="s">
        <v>189</v>
      </c>
      <c r="C23" s="70">
        <v>39636</v>
      </c>
      <c r="D23" s="404">
        <v>84000</v>
      </c>
      <c r="E23" s="404" t="s">
        <v>179</v>
      </c>
      <c r="F23" s="404" t="s">
        <v>179</v>
      </c>
      <c r="G23" s="404" t="s">
        <v>179</v>
      </c>
      <c r="H23" s="404">
        <v>84000</v>
      </c>
      <c r="I23" s="404" t="s">
        <v>179</v>
      </c>
      <c r="J23" s="551">
        <f t="shared" si="2"/>
        <v>39636</v>
      </c>
      <c r="K23" s="552"/>
      <c r="L23" s="405">
        <v>0</v>
      </c>
    </row>
    <row r="24" spans="1:12" s="40" customFormat="1" ht="17.25" customHeight="1">
      <c r="A24" s="400" t="s">
        <v>133</v>
      </c>
      <c r="B24" s="399" t="s">
        <v>191</v>
      </c>
      <c r="C24" s="70">
        <v>85019</v>
      </c>
      <c r="D24" s="404">
        <f>1000+220830+167000</f>
        <v>388830</v>
      </c>
      <c r="E24" s="404" t="s">
        <v>179</v>
      </c>
      <c r="F24" s="404" t="s">
        <v>179</v>
      </c>
      <c r="G24" s="404" t="s">
        <v>179</v>
      </c>
      <c r="H24" s="404">
        <f>1000+220830+194716</f>
        <v>416546</v>
      </c>
      <c r="I24" s="404" t="s">
        <v>179</v>
      </c>
      <c r="J24" s="551">
        <f t="shared" si="2"/>
        <v>57303</v>
      </c>
      <c r="K24" s="552"/>
      <c r="L24" s="405">
        <v>0</v>
      </c>
    </row>
    <row r="25" spans="1:12" s="40" customFormat="1" ht="16.5" customHeight="1">
      <c r="A25" s="400" t="s">
        <v>190</v>
      </c>
      <c r="B25" s="399" t="s">
        <v>193</v>
      </c>
      <c r="C25" s="70">
        <v>7912</v>
      </c>
      <c r="D25" s="404">
        <v>74527</v>
      </c>
      <c r="E25" s="404" t="s">
        <v>179</v>
      </c>
      <c r="F25" s="404" t="s">
        <v>179</v>
      </c>
      <c r="G25" s="404" t="s">
        <v>179</v>
      </c>
      <c r="H25" s="404">
        <v>74527</v>
      </c>
      <c r="I25" s="404" t="s">
        <v>179</v>
      </c>
      <c r="J25" s="551">
        <f t="shared" si="2"/>
        <v>7912</v>
      </c>
      <c r="K25" s="552"/>
      <c r="L25" s="405">
        <v>0</v>
      </c>
    </row>
    <row r="26" spans="1:12" ht="24" customHeight="1">
      <c r="A26" s="400" t="s">
        <v>192</v>
      </c>
      <c r="B26" s="72" t="s">
        <v>293</v>
      </c>
      <c r="C26" s="70">
        <v>3686</v>
      </c>
      <c r="D26" s="404">
        <v>40260</v>
      </c>
      <c r="E26" s="404" t="s">
        <v>179</v>
      </c>
      <c r="F26" s="404" t="s">
        <v>179</v>
      </c>
      <c r="G26" s="404" t="s">
        <v>179</v>
      </c>
      <c r="H26" s="404">
        <v>39000</v>
      </c>
      <c r="I26" s="404" t="s">
        <v>179</v>
      </c>
      <c r="J26" s="551">
        <f t="shared" si="2"/>
        <v>4946</v>
      </c>
      <c r="K26" s="552"/>
      <c r="L26" s="405">
        <v>0</v>
      </c>
    </row>
    <row r="27" spans="1:12" ht="24" customHeight="1">
      <c r="A27" s="400" t="s">
        <v>27</v>
      </c>
      <c r="B27" s="72" t="s">
        <v>294</v>
      </c>
      <c r="C27" s="70">
        <v>3225</v>
      </c>
      <c r="D27" s="404">
        <v>3069</v>
      </c>
      <c r="E27" s="404" t="s">
        <v>179</v>
      </c>
      <c r="F27" s="404" t="s">
        <v>179</v>
      </c>
      <c r="G27" s="404" t="s">
        <v>179</v>
      </c>
      <c r="H27" s="404">
        <v>6214</v>
      </c>
      <c r="I27" s="404" t="s">
        <v>179</v>
      </c>
      <c r="J27" s="551">
        <f>C27+D27-H27</f>
        <v>80</v>
      </c>
      <c r="K27" s="552"/>
      <c r="L27" s="405"/>
    </row>
    <row r="28" spans="1:12" s="49" customFormat="1" ht="20.25" customHeight="1">
      <c r="A28" s="553" t="s">
        <v>70</v>
      </c>
      <c r="B28" s="553"/>
      <c r="C28" s="74">
        <f aca="true" t="shared" si="3" ref="C28:I28">SUM(C16,C12)</f>
        <v>1505825</v>
      </c>
      <c r="D28" s="74">
        <f t="shared" si="3"/>
        <v>4374967</v>
      </c>
      <c r="E28" s="74">
        <f t="shared" si="3"/>
        <v>0</v>
      </c>
      <c r="F28" s="74">
        <f t="shared" si="3"/>
        <v>0</v>
      </c>
      <c r="G28" s="74">
        <f t="shared" si="3"/>
        <v>0</v>
      </c>
      <c r="H28" s="74">
        <f t="shared" si="3"/>
        <v>4456032</v>
      </c>
      <c r="I28" s="74">
        <f t="shared" si="3"/>
        <v>3061</v>
      </c>
      <c r="J28" s="554">
        <f>SUM(J12,J16)</f>
        <v>1424760</v>
      </c>
      <c r="K28" s="554"/>
      <c r="L28" s="74">
        <f>SUM(L16,L12)</f>
        <v>185710.65</v>
      </c>
    </row>
    <row r="29" ht="1.5" customHeight="1"/>
    <row r="30" spans="1:7" ht="10.5" customHeight="1">
      <c r="A30" s="246" t="s">
        <v>19</v>
      </c>
      <c r="D30" s="59"/>
      <c r="E30" s="59"/>
      <c r="F30" s="59"/>
      <c r="G30" s="59"/>
    </row>
    <row r="31" spans="1:7" s="54" customFormat="1" ht="11.25">
      <c r="A31" s="54" t="s">
        <v>18</v>
      </c>
      <c r="E31" s="293"/>
      <c r="F31" s="293"/>
      <c r="G31" s="293"/>
    </row>
    <row r="32" spans="1:7" s="54" customFormat="1" ht="11.25">
      <c r="A32" s="54" t="s">
        <v>20</v>
      </c>
      <c r="E32" s="293"/>
      <c r="F32" s="293"/>
      <c r="G32" s="293"/>
    </row>
  </sheetData>
  <mergeCells count="34">
    <mergeCell ref="A28:B28"/>
    <mergeCell ref="J28:K28"/>
    <mergeCell ref="J12:K12"/>
    <mergeCell ref="J13:K13"/>
    <mergeCell ref="J14:K14"/>
    <mergeCell ref="J16:K16"/>
    <mergeCell ref="J17:K17"/>
    <mergeCell ref="J19:K19"/>
    <mergeCell ref="J24:K24"/>
    <mergeCell ref="J25:K25"/>
    <mergeCell ref="J27:K27"/>
    <mergeCell ref="J15:K15"/>
    <mergeCell ref="J26:K26"/>
    <mergeCell ref="J20:K20"/>
    <mergeCell ref="J21:K21"/>
    <mergeCell ref="J22:K22"/>
    <mergeCell ref="J23:K23"/>
    <mergeCell ref="J18:K18"/>
    <mergeCell ref="L7:L10"/>
    <mergeCell ref="H7:I7"/>
    <mergeCell ref="J11:K11"/>
    <mergeCell ref="A4:L4"/>
    <mergeCell ref="A5:L5"/>
    <mergeCell ref="E9:E10"/>
    <mergeCell ref="A7:A10"/>
    <mergeCell ref="H9:H10"/>
    <mergeCell ref="I9:I10"/>
    <mergeCell ref="J7:K10"/>
    <mergeCell ref="B7:B10"/>
    <mergeCell ref="C7:C10"/>
    <mergeCell ref="D8:D10"/>
    <mergeCell ref="D7:G7"/>
    <mergeCell ref="E8:G8"/>
    <mergeCell ref="F9:G9"/>
  </mergeCells>
  <printOptions/>
  <pageMargins left="0.28" right="0.18" top="0.56" bottom="0.21" header="0.46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/>
  <dimension ref="A1:F19"/>
  <sheetViews>
    <sheetView workbookViewId="0" topLeftCell="A1">
      <selection activeCell="D20" sqref="D20"/>
    </sheetView>
  </sheetViews>
  <sheetFormatPr defaultColWidth="9.00390625" defaultRowHeight="12.75"/>
  <cols>
    <col min="1" max="1" width="16.75390625" style="0" customWidth="1"/>
    <col min="2" max="2" width="8.75390625" style="0" customWidth="1"/>
    <col min="3" max="3" width="10.00390625" style="0" customWidth="1"/>
    <col min="4" max="4" width="60.125" style="0" customWidth="1"/>
    <col min="5" max="5" width="20.125" style="0" customWidth="1"/>
  </cols>
  <sheetData>
    <row r="1" spans="4:6" ht="23.25" customHeight="1">
      <c r="D1" s="104"/>
      <c r="E1" s="75" t="s">
        <v>421</v>
      </c>
      <c r="F1" s="104"/>
    </row>
    <row r="2" spans="4:6" ht="14.25">
      <c r="D2" s="103"/>
      <c r="E2" s="103" t="s">
        <v>414</v>
      </c>
      <c r="F2" s="103"/>
    </row>
    <row r="3" spans="4:6" ht="14.25">
      <c r="D3" s="103"/>
      <c r="E3" s="103" t="s">
        <v>422</v>
      </c>
      <c r="F3" s="103"/>
    </row>
    <row r="5" spans="1:6" ht="18" customHeight="1">
      <c r="A5" s="555" t="s">
        <v>297</v>
      </c>
      <c r="B5" s="555"/>
      <c r="C5" s="555"/>
      <c r="D5" s="555"/>
      <c r="E5" s="555"/>
      <c r="F5" s="555"/>
    </row>
    <row r="6" spans="3:5" ht="18">
      <c r="C6" s="555" t="s">
        <v>298</v>
      </c>
      <c r="D6" s="556"/>
      <c r="E6" s="556"/>
    </row>
    <row r="7" ht="13.5" thickBot="1"/>
    <row r="8" spans="2:5" ht="30.75" customHeight="1" thickBot="1">
      <c r="B8" s="249" t="s">
        <v>98</v>
      </c>
      <c r="C8" s="250" t="s">
        <v>99</v>
      </c>
      <c r="D8" s="250" t="s">
        <v>159</v>
      </c>
      <c r="E8" s="251" t="s">
        <v>296</v>
      </c>
    </row>
    <row r="9" spans="2:5" ht="13.5" thickBot="1">
      <c r="B9" s="252">
        <v>1</v>
      </c>
      <c r="C9" s="253">
        <v>2</v>
      </c>
      <c r="D9" s="253">
        <v>3</v>
      </c>
      <c r="E9" s="254">
        <v>4</v>
      </c>
    </row>
    <row r="10" spans="2:5" s="200" customFormat="1" ht="14.25" customHeight="1">
      <c r="B10" s="560">
        <v>750</v>
      </c>
      <c r="C10" s="562">
        <v>75095</v>
      </c>
      <c r="D10" s="248" t="s">
        <v>265</v>
      </c>
      <c r="E10" s="298">
        <v>5000</v>
      </c>
    </row>
    <row r="11" spans="2:5" s="200" customFormat="1" ht="14.25" customHeight="1">
      <c r="B11" s="561"/>
      <c r="C11" s="563"/>
      <c r="D11" s="248" t="s">
        <v>300</v>
      </c>
      <c r="E11" s="298">
        <v>1500</v>
      </c>
    </row>
    <row r="12" spans="2:5" s="200" customFormat="1" ht="24">
      <c r="B12" s="247">
        <v>754</v>
      </c>
      <c r="C12" s="198">
        <v>75415</v>
      </c>
      <c r="D12" s="199" t="s">
        <v>258</v>
      </c>
      <c r="E12" s="296">
        <v>5000</v>
      </c>
    </row>
    <row r="13" spans="2:5" s="200" customFormat="1" ht="18" customHeight="1">
      <c r="B13" s="247">
        <v>851</v>
      </c>
      <c r="C13" s="198">
        <v>85195</v>
      </c>
      <c r="D13" s="199" t="s">
        <v>259</v>
      </c>
      <c r="E13" s="296">
        <v>12000</v>
      </c>
    </row>
    <row r="14" spans="2:5" s="200" customFormat="1" ht="18" customHeight="1">
      <c r="B14" s="247">
        <v>852</v>
      </c>
      <c r="C14" s="198">
        <v>85201</v>
      </c>
      <c r="D14" s="199" t="s">
        <v>260</v>
      </c>
      <c r="E14" s="296">
        <v>104284</v>
      </c>
    </row>
    <row r="15" spans="2:5" s="200" customFormat="1" ht="36">
      <c r="B15" s="247">
        <v>852</v>
      </c>
      <c r="C15" s="198">
        <v>85204</v>
      </c>
      <c r="D15" s="199" t="s">
        <v>264</v>
      </c>
      <c r="E15" s="296">
        <v>5000</v>
      </c>
    </row>
    <row r="16" spans="2:5" s="200" customFormat="1" ht="24">
      <c r="B16" s="247">
        <v>854</v>
      </c>
      <c r="C16" s="198">
        <v>85415</v>
      </c>
      <c r="D16" s="199" t="s">
        <v>261</v>
      </c>
      <c r="E16" s="296">
        <v>12000</v>
      </c>
    </row>
    <row r="17" spans="2:5" s="200" customFormat="1" ht="18" customHeight="1">
      <c r="B17" s="247">
        <v>921</v>
      </c>
      <c r="C17" s="198">
        <v>92105</v>
      </c>
      <c r="D17" s="199" t="s">
        <v>299</v>
      </c>
      <c r="E17" s="296">
        <v>16500</v>
      </c>
    </row>
    <row r="18" spans="2:5" s="200" customFormat="1" ht="24.75" thickBot="1">
      <c r="B18" s="255">
        <v>926</v>
      </c>
      <c r="C18" s="256">
        <v>92695</v>
      </c>
      <c r="D18" s="257" t="s">
        <v>262</v>
      </c>
      <c r="E18" s="299">
        <v>31100</v>
      </c>
    </row>
    <row r="19" spans="2:5" s="1" customFormat="1" ht="27" customHeight="1" thickBot="1">
      <c r="B19" s="557" t="s">
        <v>168</v>
      </c>
      <c r="C19" s="558"/>
      <c r="D19" s="559"/>
      <c r="E19" s="258">
        <f>SUM(E10:E18)</f>
        <v>192384</v>
      </c>
    </row>
  </sheetData>
  <mergeCells count="5">
    <mergeCell ref="C6:E6"/>
    <mergeCell ref="B19:D19"/>
    <mergeCell ref="A5:F5"/>
    <mergeCell ref="B10:B11"/>
    <mergeCell ref="C10:C11"/>
  </mergeCells>
  <printOptions/>
  <pageMargins left="0.75" right="0.75" top="1.18" bottom="1" header="0.9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3"/>
  <dimension ref="A1:J42"/>
  <sheetViews>
    <sheetView workbookViewId="0" topLeftCell="A1">
      <selection activeCell="E19" sqref="E19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s="409" customFormat="1" ht="33.75" customHeight="1">
      <c r="A1" s="564" t="s">
        <v>126</v>
      </c>
      <c r="B1" s="564"/>
      <c r="C1" s="564"/>
      <c r="D1" s="408"/>
      <c r="E1" s="408"/>
      <c r="F1" s="408"/>
      <c r="G1" s="408"/>
      <c r="H1" s="408"/>
      <c r="I1" s="408"/>
      <c r="J1" s="408"/>
    </row>
    <row r="2" spans="1:7" s="271" customFormat="1" ht="13.5" customHeight="1">
      <c r="A2" s="535" t="s">
        <v>263</v>
      </c>
      <c r="B2" s="535"/>
      <c r="C2" s="535"/>
      <c r="D2" s="407"/>
      <c r="E2" s="407"/>
      <c r="F2" s="407"/>
      <c r="G2" s="407"/>
    </row>
    <row r="3" ht="12.75" customHeight="1" thickBot="1">
      <c r="C3" s="27" t="s">
        <v>158</v>
      </c>
    </row>
    <row r="4" spans="1:10" s="91" customFormat="1" ht="19.5" customHeight="1">
      <c r="A4" s="454" t="s">
        <v>103</v>
      </c>
      <c r="B4" s="455" t="s">
        <v>96</v>
      </c>
      <c r="C4" s="456" t="s">
        <v>306</v>
      </c>
      <c r="D4" s="89"/>
      <c r="E4" s="89"/>
      <c r="F4" s="89"/>
      <c r="G4" s="89"/>
      <c r="H4" s="89"/>
      <c r="I4" s="90"/>
      <c r="J4" s="90"/>
    </row>
    <row r="5" spans="1:10" ht="19.5" customHeight="1">
      <c r="A5" s="457" t="s">
        <v>105</v>
      </c>
      <c r="B5" s="458" t="s">
        <v>128</v>
      </c>
      <c r="C5" s="459">
        <f>SUM(C6-C8)</f>
        <v>69482</v>
      </c>
      <c r="D5" s="9"/>
      <c r="E5" s="9"/>
      <c r="F5" s="9"/>
      <c r="G5" s="9"/>
      <c r="H5" s="9"/>
      <c r="I5" s="10"/>
      <c r="J5" s="10"/>
    </row>
    <row r="6" spans="1:10" ht="17.25" customHeight="1">
      <c r="A6" s="421" t="s">
        <v>106</v>
      </c>
      <c r="B6" s="460" t="s">
        <v>132</v>
      </c>
      <c r="C6" s="461">
        <f>69982</f>
        <v>69982</v>
      </c>
      <c r="D6" s="387"/>
      <c r="E6" s="9"/>
      <c r="F6" s="9"/>
      <c r="G6" s="9"/>
      <c r="H6" s="9"/>
      <c r="I6" s="10"/>
      <c r="J6" s="10"/>
    </row>
    <row r="7" spans="1:10" ht="17.25" customHeight="1">
      <c r="A7" s="421" t="s">
        <v>107</v>
      </c>
      <c r="B7" s="460" t="s">
        <v>131</v>
      </c>
      <c r="C7" s="462">
        <v>0</v>
      </c>
      <c r="D7" s="9"/>
      <c r="E7" s="9"/>
      <c r="F7" s="9"/>
      <c r="G7" s="9"/>
      <c r="H7" s="9"/>
      <c r="I7" s="10"/>
      <c r="J7" s="10"/>
    </row>
    <row r="8" spans="1:10" ht="17.25" customHeight="1">
      <c r="A8" s="421" t="s">
        <v>108</v>
      </c>
      <c r="B8" s="460" t="s">
        <v>130</v>
      </c>
      <c r="C8" s="461">
        <v>500</v>
      </c>
      <c r="D8" s="9"/>
      <c r="E8" s="9"/>
      <c r="F8" s="9"/>
      <c r="G8" s="9"/>
      <c r="H8" s="9"/>
      <c r="I8" s="10"/>
      <c r="J8" s="10"/>
    </row>
    <row r="9" spans="1:10" ht="17.25" customHeight="1">
      <c r="A9" s="421" t="s">
        <v>97</v>
      </c>
      <c r="B9" s="460" t="s">
        <v>280</v>
      </c>
      <c r="C9" s="462">
        <v>0</v>
      </c>
      <c r="D9" s="9"/>
      <c r="E9" s="9"/>
      <c r="F9" s="9"/>
      <c r="G9" s="9"/>
      <c r="H9" s="9"/>
      <c r="I9" s="10"/>
      <c r="J9" s="10"/>
    </row>
    <row r="10" spans="1:10" ht="19.5" customHeight="1">
      <c r="A10" s="457" t="s">
        <v>109</v>
      </c>
      <c r="B10" s="458" t="s">
        <v>104</v>
      </c>
      <c r="C10" s="463">
        <f>SUM(C11:C13)</f>
        <v>150000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421" t="s">
        <v>106</v>
      </c>
      <c r="B11" s="338" t="s">
        <v>160</v>
      </c>
      <c r="C11" s="464">
        <v>150000</v>
      </c>
      <c r="D11" s="9"/>
      <c r="E11" s="9"/>
      <c r="F11" s="9"/>
      <c r="G11" s="9"/>
      <c r="H11" s="9"/>
      <c r="I11" s="10"/>
      <c r="J11" s="10"/>
    </row>
    <row r="12" spans="1:10" ht="19.5" customHeight="1" hidden="1" thickBot="1">
      <c r="A12" s="421"/>
      <c r="B12" s="338"/>
      <c r="C12" s="464"/>
      <c r="D12" s="9"/>
      <c r="E12" s="9"/>
      <c r="F12" s="9"/>
      <c r="G12" s="9"/>
      <c r="H12" s="9"/>
      <c r="I12" s="10"/>
      <c r="J12" s="10"/>
    </row>
    <row r="13" spans="1:10" ht="0.75" customHeight="1" hidden="1">
      <c r="A13" s="421"/>
      <c r="B13" s="338"/>
      <c r="C13" s="464"/>
      <c r="D13" s="9"/>
      <c r="E13" s="9"/>
      <c r="F13" s="9"/>
      <c r="G13" s="9"/>
      <c r="H13" s="9"/>
      <c r="I13" s="10"/>
      <c r="J13" s="10"/>
    </row>
    <row r="14" spans="1:10" ht="19.5" customHeight="1">
      <c r="A14" s="457" t="s">
        <v>167</v>
      </c>
      <c r="B14" s="465" t="s">
        <v>168</v>
      </c>
      <c r="C14" s="463">
        <f>C5+C10</f>
        <v>219482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457" t="s">
        <v>110</v>
      </c>
      <c r="B15" s="458" t="s">
        <v>102</v>
      </c>
      <c r="C15" s="463">
        <f>C16+C24</f>
        <v>219000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421" t="s">
        <v>106</v>
      </c>
      <c r="B16" s="458" t="s">
        <v>233</v>
      </c>
      <c r="C16" s="463">
        <f>SUM(C17:C23)</f>
        <v>144000</v>
      </c>
      <c r="D16" s="9"/>
      <c r="E16" s="9"/>
      <c r="F16" s="9"/>
      <c r="G16" s="9"/>
      <c r="H16" s="9"/>
      <c r="I16" s="10"/>
      <c r="J16" s="10"/>
    </row>
    <row r="17" spans="1:10" ht="38.25" customHeight="1">
      <c r="A17" s="421"/>
      <c r="B17" s="339" t="s">
        <v>169</v>
      </c>
      <c r="C17" s="462">
        <v>50000</v>
      </c>
      <c r="D17" s="9"/>
      <c r="E17" s="9"/>
      <c r="F17" s="9"/>
      <c r="G17" s="9"/>
      <c r="H17" s="9"/>
      <c r="I17" s="10"/>
      <c r="J17" s="10"/>
    </row>
    <row r="18" spans="1:10" ht="45" customHeight="1">
      <c r="A18" s="421"/>
      <c r="B18" s="339" t="s">
        <v>172</v>
      </c>
      <c r="C18" s="464">
        <v>10000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421"/>
      <c r="B19" s="338" t="s">
        <v>173</v>
      </c>
      <c r="C19" s="464">
        <f>33000-1500</f>
        <v>31500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21"/>
      <c r="B20" s="338" t="s">
        <v>95</v>
      </c>
      <c r="C20" s="464">
        <v>43000</v>
      </c>
      <c r="D20" s="9"/>
      <c r="E20" s="9"/>
      <c r="F20" s="9"/>
      <c r="G20" s="9"/>
      <c r="H20" s="9"/>
      <c r="I20" s="10"/>
      <c r="J20" s="10"/>
    </row>
    <row r="21" spans="1:10" ht="30" customHeight="1">
      <c r="A21" s="421"/>
      <c r="B21" s="339" t="s">
        <v>322</v>
      </c>
      <c r="C21" s="464">
        <v>7000</v>
      </c>
      <c r="D21" s="9"/>
      <c r="E21" s="9"/>
      <c r="F21" s="9"/>
      <c r="G21" s="9"/>
      <c r="H21" s="9"/>
      <c r="I21" s="10"/>
      <c r="J21" s="10"/>
    </row>
    <row r="22" spans="1:10" ht="30" customHeight="1">
      <c r="A22" s="421"/>
      <c r="B22" s="339" t="s">
        <v>323</v>
      </c>
      <c r="C22" s="464">
        <v>1000</v>
      </c>
      <c r="D22" s="9"/>
      <c r="E22" s="9"/>
      <c r="F22" s="9"/>
      <c r="G22" s="9"/>
      <c r="H22" s="9"/>
      <c r="I22" s="10"/>
      <c r="J22" s="10"/>
    </row>
    <row r="23" spans="1:10" ht="30" customHeight="1">
      <c r="A23" s="421"/>
      <c r="B23" s="339" t="s">
        <v>324</v>
      </c>
      <c r="C23" s="464">
        <v>1500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421" t="s">
        <v>107</v>
      </c>
      <c r="B24" s="458" t="s">
        <v>234</v>
      </c>
      <c r="C24" s="463">
        <f>SUM(C25:C27)</f>
        <v>75000</v>
      </c>
      <c r="D24" s="9"/>
      <c r="E24" s="9"/>
      <c r="F24" s="9"/>
      <c r="G24" s="9"/>
      <c r="H24" s="9"/>
      <c r="I24" s="10"/>
      <c r="J24" s="10"/>
    </row>
    <row r="25" spans="1:10" ht="19.5" customHeight="1">
      <c r="A25" s="421"/>
      <c r="B25" s="339" t="s">
        <v>170</v>
      </c>
      <c r="C25" s="462">
        <v>6000</v>
      </c>
      <c r="D25" s="9"/>
      <c r="E25" s="9"/>
      <c r="F25" s="9"/>
      <c r="G25" s="9"/>
      <c r="H25" s="9"/>
      <c r="I25" s="10"/>
      <c r="J25" s="10"/>
    </row>
    <row r="26" spans="1:10" ht="48" customHeight="1">
      <c r="A26" s="421"/>
      <c r="B26" s="339" t="s">
        <v>171</v>
      </c>
      <c r="C26" s="462">
        <f>10000+6000+21000</f>
        <v>37000</v>
      </c>
      <c r="D26" s="9"/>
      <c r="E26" s="9"/>
      <c r="F26" s="9"/>
      <c r="G26" s="9"/>
      <c r="H26" s="9"/>
      <c r="I26" s="10"/>
      <c r="J26" s="10"/>
    </row>
    <row r="27" spans="1:10" ht="60" customHeight="1">
      <c r="A27" s="421"/>
      <c r="B27" s="339" t="s">
        <v>174</v>
      </c>
      <c r="C27" s="462">
        <f>2000+30000</f>
        <v>32000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457" t="s">
        <v>127</v>
      </c>
      <c r="B28" s="458" t="s">
        <v>129</v>
      </c>
      <c r="C28" s="463">
        <f>C5+C10-C15</f>
        <v>482</v>
      </c>
      <c r="D28" s="9"/>
      <c r="E28" s="9"/>
      <c r="F28" s="9"/>
      <c r="G28" s="9"/>
      <c r="H28" s="9"/>
      <c r="I28" s="10"/>
      <c r="J28" s="10"/>
    </row>
    <row r="29" spans="1:10" ht="19.5" customHeight="1">
      <c r="A29" s="421" t="s">
        <v>106</v>
      </c>
      <c r="B29" s="460" t="s">
        <v>132</v>
      </c>
      <c r="C29" s="464">
        <v>482</v>
      </c>
      <c r="D29" s="9"/>
      <c r="E29" s="9"/>
      <c r="F29" s="9"/>
      <c r="G29" s="9"/>
      <c r="H29" s="9"/>
      <c r="I29" s="10"/>
      <c r="J29" s="10"/>
    </row>
    <row r="30" spans="1:10" ht="19.5" customHeight="1">
      <c r="A30" s="421" t="s">
        <v>107</v>
      </c>
      <c r="B30" s="460" t="s">
        <v>131</v>
      </c>
      <c r="C30" s="464">
        <v>0</v>
      </c>
      <c r="D30" s="9"/>
      <c r="E30" s="9"/>
      <c r="F30" s="9"/>
      <c r="G30" s="9"/>
      <c r="H30" s="9"/>
      <c r="I30" s="10"/>
      <c r="J30" s="10"/>
    </row>
    <row r="31" spans="1:10" ht="19.5" customHeight="1">
      <c r="A31" s="421" t="s">
        <v>108</v>
      </c>
      <c r="B31" s="460" t="s">
        <v>130</v>
      </c>
      <c r="C31" s="464">
        <v>0</v>
      </c>
      <c r="D31" s="9"/>
      <c r="E31" s="9"/>
      <c r="F31" s="9"/>
      <c r="G31" s="9"/>
      <c r="H31" s="9"/>
      <c r="I31" s="10"/>
      <c r="J31" s="10"/>
    </row>
    <row r="32" spans="1:10" ht="15.75" thickBot="1">
      <c r="A32" s="466" t="s">
        <v>97</v>
      </c>
      <c r="B32" s="467" t="s">
        <v>280</v>
      </c>
      <c r="C32" s="468">
        <v>0</v>
      </c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5">
      <c r="A37" s="9"/>
      <c r="B37" s="9"/>
      <c r="C37" s="9"/>
      <c r="D37" s="9"/>
      <c r="E37" s="9"/>
      <c r="F37" s="9"/>
      <c r="G37" s="9"/>
      <c r="H37" s="9"/>
      <c r="I37" s="10"/>
      <c r="J37" s="10"/>
    </row>
    <row r="38" spans="1:10" ht="15">
      <c r="A38" s="9"/>
      <c r="B38" s="9"/>
      <c r="C38" s="9"/>
      <c r="D38" s="9"/>
      <c r="E38" s="9"/>
      <c r="F38" s="9"/>
      <c r="G38" s="9"/>
      <c r="H38" s="9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8
do Uchwały Rady Powiatu nr IX/      /07
z dnia 29 czerwca 2007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2"/>
  <dimension ref="A1:J48"/>
  <sheetViews>
    <sheetView workbookViewId="0" topLeftCell="A1">
      <selection activeCell="E23" sqref="E23"/>
    </sheetView>
  </sheetViews>
  <sheetFormatPr defaultColWidth="9.00390625" defaultRowHeight="12.75"/>
  <cols>
    <col min="1" max="1" width="5.25390625" style="1" customWidth="1"/>
    <col min="2" max="2" width="60.625" style="1" customWidth="1"/>
    <col min="3" max="3" width="17.75390625" style="1" customWidth="1"/>
    <col min="4" max="4" width="11.625" style="1" bestFit="1" customWidth="1"/>
    <col min="5" max="16384" width="9.125" style="1" customWidth="1"/>
  </cols>
  <sheetData>
    <row r="1" ht="12.75">
      <c r="C1" s="104" t="s">
        <v>295</v>
      </c>
    </row>
    <row r="2" ht="14.25">
      <c r="C2" s="103" t="s">
        <v>416</v>
      </c>
    </row>
    <row r="3" ht="14.25">
      <c r="C3" s="103" t="s">
        <v>422</v>
      </c>
    </row>
    <row r="5" spans="1:10" ht="19.5" customHeight="1">
      <c r="A5" s="565" t="s">
        <v>126</v>
      </c>
      <c r="B5" s="565"/>
      <c r="C5" s="565"/>
      <c r="D5" s="8"/>
      <c r="E5" s="8"/>
      <c r="F5" s="8"/>
      <c r="G5" s="8"/>
      <c r="H5" s="8"/>
      <c r="I5" s="8"/>
      <c r="J5" s="8"/>
    </row>
    <row r="6" spans="1:7" ht="19.5" customHeight="1">
      <c r="A6" s="565" t="s">
        <v>92</v>
      </c>
      <c r="B6" s="565"/>
      <c r="C6" s="565"/>
      <c r="D6" s="8"/>
      <c r="E6" s="8"/>
      <c r="F6" s="8"/>
      <c r="G6" s="8"/>
    </row>
    <row r="7" ht="13.5" thickBot="1">
      <c r="C7" s="27" t="s">
        <v>158</v>
      </c>
    </row>
    <row r="8" spans="1:10" s="91" customFormat="1" ht="19.5" customHeight="1">
      <c r="A8" s="413" t="s">
        <v>103</v>
      </c>
      <c r="B8" s="414" t="s">
        <v>96</v>
      </c>
      <c r="C8" s="415" t="s">
        <v>306</v>
      </c>
      <c r="D8" s="89"/>
      <c r="E8" s="89"/>
      <c r="F8" s="89"/>
      <c r="G8" s="89"/>
      <c r="H8" s="89"/>
      <c r="I8" s="90"/>
      <c r="J8" s="90"/>
    </row>
    <row r="9" spans="1:10" ht="19.5" customHeight="1">
      <c r="A9" s="416" t="s">
        <v>105</v>
      </c>
      <c r="B9" s="94" t="s">
        <v>128</v>
      </c>
      <c r="C9" s="97">
        <f>SUM(C10:C11,-C12)</f>
        <v>481219</v>
      </c>
      <c r="D9" s="9"/>
      <c r="E9" s="9"/>
      <c r="F9" s="9"/>
      <c r="G9" s="9"/>
      <c r="H9" s="9"/>
      <c r="I9" s="10"/>
      <c r="J9" s="10"/>
    </row>
    <row r="10" spans="1:10" ht="19.5" customHeight="1">
      <c r="A10" s="93" t="s">
        <v>106</v>
      </c>
      <c r="B10" s="410" t="s">
        <v>132</v>
      </c>
      <c r="C10" s="37">
        <v>484090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93" t="s">
        <v>107</v>
      </c>
      <c r="B11" s="410" t="s">
        <v>131</v>
      </c>
      <c r="C11" s="37">
        <v>30919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93" t="s">
        <v>108</v>
      </c>
      <c r="B12" s="410" t="s">
        <v>130</v>
      </c>
      <c r="C12" s="37">
        <v>33790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93" t="s">
        <v>97</v>
      </c>
      <c r="B13" s="410" t="s">
        <v>280</v>
      </c>
      <c r="C13" s="37">
        <v>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416" t="s">
        <v>109</v>
      </c>
      <c r="B14" s="94" t="s">
        <v>104</v>
      </c>
      <c r="C14" s="97">
        <f>SUM(C15:C17)</f>
        <v>350000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93" t="s">
        <v>106</v>
      </c>
      <c r="B15" s="338" t="s">
        <v>93</v>
      </c>
      <c r="C15" s="37">
        <v>340000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93" t="s">
        <v>107</v>
      </c>
      <c r="B16" s="338" t="s">
        <v>267</v>
      </c>
      <c r="C16" s="37">
        <v>10000</v>
      </c>
      <c r="D16" s="9"/>
      <c r="E16" s="9"/>
      <c r="F16" s="9"/>
      <c r="G16" s="9"/>
      <c r="H16" s="9"/>
      <c r="I16" s="10"/>
      <c r="J16" s="10"/>
    </row>
    <row r="17" spans="1:10" ht="0.75" customHeight="1">
      <c r="A17" s="93"/>
      <c r="B17" s="96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416" t="s">
        <v>167</v>
      </c>
      <c r="B18" s="411" t="s">
        <v>168</v>
      </c>
      <c r="C18" s="97">
        <f>C9+C14</f>
        <v>831219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416" t="s">
        <v>110</v>
      </c>
      <c r="B19" s="94" t="s">
        <v>102</v>
      </c>
      <c r="C19" s="97">
        <f>C20+C29+C31</f>
        <v>775000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93" t="s">
        <v>106</v>
      </c>
      <c r="B20" s="94" t="s">
        <v>233</v>
      </c>
      <c r="C20" s="97">
        <f>SUM(C21:C28)</f>
        <v>615000</v>
      </c>
      <c r="D20" s="9"/>
      <c r="E20" s="9"/>
      <c r="F20" s="9"/>
      <c r="G20" s="9"/>
      <c r="H20" s="9"/>
      <c r="I20" s="10"/>
      <c r="J20" s="10"/>
    </row>
    <row r="21" spans="1:10" ht="16.5" customHeight="1">
      <c r="A21" s="93"/>
      <c r="B21" s="338" t="s">
        <v>173</v>
      </c>
      <c r="C21" s="37">
        <f>50000</f>
        <v>50000</v>
      </c>
      <c r="D21" s="9"/>
      <c r="E21" s="9"/>
      <c r="F21" s="9"/>
      <c r="G21" s="9"/>
      <c r="H21" s="9"/>
      <c r="I21" s="10"/>
      <c r="J21" s="10"/>
    </row>
    <row r="22" spans="1:10" ht="16.5" customHeight="1">
      <c r="A22" s="93"/>
      <c r="B22" s="338" t="s">
        <v>269</v>
      </c>
      <c r="C22" s="37">
        <v>40000</v>
      </c>
      <c r="D22" s="9"/>
      <c r="E22" s="9"/>
      <c r="F22" s="9"/>
      <c r="G22" s="9"/>
      <c r="H22" s="9"/>
      <c r="I22" s="10"/>
      <c r="J22" s="10"/>
    </row>
    <row r="23" spans="1:10" ht="16.5" customHeight="1">
      <c r="A23" s="93"/>
      <c r="B23" s="338" t="s">
        <v>94</v>
      </c>
      <c r="C23" s="37">
        <v>50000</v>
      </c>
      <c r="D23" s="9"/>
      <c r="E23" s="9"/>
      <c r="F23" s="9"/>
      <c r="G23" s="9"/>
      <c r="H23" s="9"/>
      <c r="I23" s="10"/>
      <c r="J23" s="10"/>
    </row>
    <row r="24" spans="1:10" ht="16.5" customHeight="1">
      <c r="A24" s="93"/>
      <c r="B24" s="338" t="s">
        <v>95</v>
      </c>
      <c r="C24" s="37">
        <f>443000-40000</f>
        <v>403000</v>
      </c>
      <c r="D24" s="9"/>
      <c r="E24" s="9"/>
      <c r="F24" s="9"/>
      <c r="G24" s="9"/>
      <c r="H24" s="9"/>
      <c r="I24" s="10"/>
      <c r="J24" s="10"/>
    </row>
    <row r="25" spans="1:10" ht="29.25" customHeight="1">
      <c r="A25" s="93"/>
      <c r="B25" s="339" t="s">
        <v>321</v>
      </c>
      <c r="C25" s="37">
        <v>5000</v>
      </c>
      <c r="D25" s="9"/>
      <c r="E25" s="9"/>
      <c r="F25" s="9"/>
      <c r="G25" s="9"/>
      <c r="H25" s="9"/>
      <c r="I25" s="10"/>
      <c r="J25" s="10"/>
    </row>
    <row r="26" spans="1:10" ht="33.75" customHeight="1">
      <c r="A26" s="93"/>
      <c r="B26" s="339" t="s">
        <v>322</v>
      </c>
      <c r="C26" s="37">
        <v>10000</v>
      </c>
      <c r="D26" s="9"/>
      <c r="E26" s="9"/>
      <c r="F26" s="9"/>
      <c r="G26" s="9"/>
      <c r="H26" s="9"/>
      <c r="I26" s="10"/>
      <c r="J26" s="10"/>
    </row>
    <row r="27" spans="1:10" ht="33" customHeight="1">
      <c r="A27" s="93"/>
      <c r="B27" s="339" t="s">
        <v>323</v>
      </c>
      <c r="C27" s="37">
        <v>12000</v>
      </c>
      <c r="D27" s="9"/>
      <c r="E27" s="9"/>
      <c r="F27" s="9"/>
      <c r="G27" s="9"/>
      <c r="H27" s="9"/>
      <c r="I27" s="10"/>
      <c r="J27" s="10"/>
    </row>
    <row r="28" spans="1:10" ht="30" customHeight="1">
      <c r="A28" s="93"/>
      <c r="B28" s="339" t="s">
        <v>324</v>
      </c>
      <c r="C28" s="37">
        <f>35000+10000</f>
        <v>45000</v>
      </c>
      <c r="D28" s="9"/>
      <c r="E28" s="9"/>
      <c r="F28" s="9"/>
      <c r="G28" s="9"/>
      <c r="H28" s="9"/>
      <c r="I28" s="10"/>
      <c r="J28" s="10"/>
    </row>
    <row r="29" spans="1:10" ht="19.5" customHeight="1">
      <c r="A29" s="93" t="s">
        <v>107</v>
      </c>
      <c r="B29" s="94" t="s">
        <v>234</v>
      </c>
      <c r="C29" s="97">
        <f>SUM(C30:C30)</f>
        <v>90000</v>
      </c>
      <c r="D29" s="9"/>
      <c r="E29" s="9"/>
      <c r="F29" s="9"/>
      <c r="G29" s="9"/>
      <c r="H29" s="9"/>
      <c r="I29" s="10"/>
      <c r="J29" s="10"/>
    </row>
    <row r="30" spans="1:10" ht="30">
      <c r="A30" s="93"/>
      <c r="B30" s="95" t="s">
        <v>170</v>
      </c>
      <c r="C30" s="37">
        <f>60000+30000</f>
        <v>90000</v>
      </c>
      <c r="D30" s="9"/>
      <c r="E30" s="9"/>
      <c r="F30" s="9"/>
      <c r="G30" s="9"/>
      <c r="H30" s="9"/>
      <c r="I30" s="10"/>
      <c r="J30" s="10"/>
    </row>
    <row r="31" spans="1:10" ht="15.75">
      <c r="A31" s="93" t="s">
        <v>108</v>
      </c>
      <c r="B31" s="412" t="s">
        <v>307</v>
      </c>
      <c r="C31" s="97">
        <f>SUM(C32:C33)</f>
        <v>70000</v>
      </c>
      <c r="D31" s="9"/>
      <c r="E31" s="9"/>
      <c r="F31" s="9"/>
      <c r="G31" s="9"/>
      <c r="H31" s="9"/>
      <c r="I31" s="10"/>
      <c r="J31" s="10"/>
    </row>
    <row r="32" spans="1:10" ht="30">
      <c r="A32" s="93" t="s">
        <v>308</v>
      </c>
      <c r="B32" s="95" t="s">
        <v>309</v>
      </c>
      <c r="C32" s="37">
        <v>35000</v>
      </c>
      <c r="D32" s="9"/>
      <c r="E32" s="9"/>
      <c r="F32" s="9"/>
      <c r="G32" s="9"/>
      <c r="H32" s="9"/>
      <c r="I32" s="10"/>
      <c r="J32" s="10"/>
    </row>
    <row r="33" spans="1:10" ht="30">
      <c r="A33" s="93" t="s">
        <v>310</v>
      </c>
      <c r="B33" s="95" t="s">
        <v>311</v>
      </c>
      <c r="C33" s="37">
        <v>35000</v>
      </c>
      <c r="D33" s="9"/>
      <c r="E33" s="9"/>
      <c r="F33" s="9"/>
      <c r="G33" s="9"/>
      <c r="H33" s="9"/>
      <c r="I33" s="10"/>
      <c r="J33" s="10"/>
    </row>
    <row r="34" spans="1:10" ht="19.5" customHeight="1">
      <c r="A34" s="416" t="s">
        <v>127</v>
      </c>
      <c r="B34" s="94" t="s">
        <v>129</v>
      </c>
      <c r="C34" s="97">
        <f>C9+C14-C19</f>
        <v>56219</v>
      </c>
      <c r="D34" s="188"/>
      <c r="E34" s="9"/>
      <c r="F34" s="9"/>
      <c r="G34" s="9"/>
      <c r="H34" s="9"/>
      <c r="I34" s="10"/>
      <c r="J34" s="10"/>
    </row>
    <row r="35" spans="1:10" ht="19.5" customHeight="1">
      <c r="A35" s="93" t="s">
        <v>106</v>
      </c>
      <c r="B35" s="410" t="s">
        <v>132</v>
      </c>
      <c r="C35" s="37">
        <v>60000</v>
      </c>
      <c r="D35" s="9"/>
      <c r="E35" s="9"/>
      <c r="F35" s="9"/>
      <c r="G35" s="9"/>
      <c r="H35" s="9"/>
      <c r="I35" s="10"/>
      <c r="J35" s="10"/>
    </row>
    <row r="36" spans="1:10" ht="19.5" customHeight="1">
      <c r="A36" s="93" t="s">
        <v>107</v>
      </c>
      <c r="B36" s="410" t="s">
        <v>131</v>
      </c>
      <c r="C36" s="37">
        <v>2000</v>
      </c>
      <c r="D36" s="9"/>
      <c r="E36" s="9"/>
      <c r="F36" s="9"/>
      <c r="G36" s="9"/>
      <c r="H36" s="9"/>
      <c r="I36" s="10"/>
      <c r="J36" s="10"/>
    </row>
    <row r="37" spans="1:10" ht="19.5" customHeight="1" thickBot="1">
      <c r="A37" s="319" t="s">
        <v>108</v>
      </c>
      <c r="B37" s="417" t="s">
        <v>130</v>
      </c>
      <c r="C37" s="92">
        <f>C35+C36-C34</f>
        <v>5781</v>
      </c>
      <c r="D37" s="188"/>
      <c r="E37" s="9"/>
      <c r="F37" s="9"/>
      <c r="G37" s="9"/>
      <c r="H37" s="9"/>
      <c r="I37" s="10"/>
      <c r="J37" s="10"/>
    </row>
    <row r="38" spans="1:10" ht="15">
      <c r="A38" s="9"/>
      <c r="B38" s="9"/>
      <c r="C38" s="9"/>
      <c r="D38" s="9"/>
      <c r="E38" s="9"/>
      <c r="F38" s="9"/>
      <c r="G38" s="9"/>
      <c r="H38" s="9"/>
      <c r="I38" s="10"/>
      <c r="J38" s="10"/>
    </row>
    <row r="39" spans="1:10" ht="15">
      <c r="A39" s="9"/>
      <c r="B39" s="9"/>
      <c r="C39" s="188"/>
      <c r="D39" s="9"/>
      <c r="E39" s="9"/>
      <c r="F39" s="9"/>
      <c r="G39" s="9"/>
      <c r="H39" s="9"/>
      <c r="I39" s="10"/>
      <c r="J39" s="10"/>
    </row>
    <row r="40" spans="1:10" ht="15">
      <c r="A40" s="9"/>
      <c r="B40" s="9"/>
      <c r="C40" s="9"/>
      <c r="D40" s="9"/>
      <c r="E40" s="9"/>
      <c r="F40" s="9"/>
      <c r="G40" s="9"/>
      <c r="H40" s="9"/>
      <c r="I40" s="10"/>
      <c r="J40" s="10"/>
    </row>
    <row r="41" spans="1:10" ht="15">
      <c r="A41" s="9"/>
      <c r="B41" s="9"/>
      <c r="C41" s="9"/>
      <c r="D41" s="9"/>
      <c r="E41" s="9"/>
      <c r="F41" s="9"/>
      <c r="G41" s="9"/>
      <c r="H41" s="9"/>
      <c r="I41" s="10"/>
      <c r="J41" s="10"/>
    </row>
    <row r="42" spans="1:10" ht="15">
      <c r="A42" s="9"/>
      <c r="B42" s="9"/>
      <c r="C42" s="9"/>
      <c r="D42" s="9"/>
      <c r="E42" s="9"/>
      <c r="F42" s="9"/>
      <c r="G42" s="9"/>
      <c r="H42" s="9"/>
      <c r="I42" s="10"/>
      <c r="J42" s="10"/>
    </row>
    <row r="43" spans="1:10" ht="15">
      <c r="A43" s="9"/>
      <c r="B43" s="9"/>
      <c r="C43" s="9"/>
      <c r="D43" s="9"/>
      <c r="E43" s="9"/>
      <c r="F43" s="9"/>
      <c r="G43" s="9"/>
      <c r="H43" s="9"/>
      <c r="I43" s="10"/>
      <c r="J43" s="10"/>
    </row>
    <row r="44" spans="1:10" ht="15">
      <c r="A44" s="9"/>
      <c r="B44" s="9"/>
      <c r="C44" s="9"/>
      <c r="D44" s="9"/>
      <c r="E44" s="9"/>
      <c r="F44" s="9"/>
      <c r="G44" s="9"/>
      <c r="H44" s="9"/>
      <c r="I44" s="10"/>
      <c r="J44" s="10"/>
    </row>
    <row r="45" spans="1:10" ht="1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>
      <c r="A48" s="10"/>
      <c r="B48" s="10"/>
      <c r="C48" s="10"/>
      <c r="D48" s="10"/>
      <c r="E48" s="10"/>
      <c r="F48" s="10"/>
      <c r="G48" s="10"/>
      <c r="H48" s="10"/>
      <c r="I48" s="10"/>
      <c r="J48" s="10"/>
    </row>
  </sheetData>
  <mergeCells count="2">
    <mergeCell ref="A5:C5"/>
    <mergeCell ref="A6:C6"/>
  </mergeCells>
  <printOptions/>
  <pageMargins left="1.02" right="0.75" top="0.31" bottom="0.71" header="0.18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/>
  <dimension ref="A1:M25"/>
  <sheetViews>
    <sheetView workbookViewId="0" topLeftCell="D1">
      <selection activeCell="M18" sqref="M18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135" customFormat="1" ht="15.75">
      <c r="B1" s="136"/>
      <c r="C1" s="137"/>
      <c r="D1" s="138"/>
      <c r="E1" s="161"/>
      <c r="F1" s="161"/>
      <c r="G1" s="104" t="s">
        <v>305</v>
      </c>
      <c r="I1" s="138"/>
      <c r="J1" s="161"/>
      <c r="K1" s="161"/>
      <c r="L1" s="161"/>
      <c r="M1" s="104" t="s">
        <v>305</v>
      </c>
    </row>
    <row r="2" spans="2:13" s="135" customFormat="1" ht="15">
      <c r="B2" s="139"/>
      <c r="C2" s="140"/>
      <c r="D2" s="141"/>
      <c r="E2" s="162"/>
      <c r="F2" s="162"/>
      <c r="G2" s="103" t="s">
        <v>414</v>
      </c>
      <c r="I2" s="141"/>
      <c r="J2" s="121"/>
      <c r="K2" s="121"/>
      <c r="L2" s="121"/>
      <c r="M2" s="103" t="s">
        <v>414</v>
      </c>
    </row>
    <row r="3" spans="2:13" s="135" customFormat="1" ht="15">
      <c r="B3" s="139"/>
      <c r="C3" s="142"/>
      <c r="D3" s="141"/>
      <c r="E3" s="162"/>
      <c r="F3" s="162"/>
      <c r="G3" s="103" t="s">
        <v>422</v>
      </c>
      <c r="I3" s="141"/>
      <c r="J3" s="121"/>
      <c r="K3" s="121"/>
      <c r="L3" s="121"/>
      <c r="M3" s="103" t="s">
        <v>422</v>
      </c>
    </row>
    <row r="4" s="143" customFormat="1" ht="12.75">
      <c r="D4" s="142"/>
    </row>
    <row r="5" ht="12.75">
      <c r="D5" s="144"/>
    </row>
    <row r="6" ht="12.75">
      <c r="D6" s="144"/>
    </row>
    <row r="8" spans="2:6" ht="18">
      <c r="B8" s="3"/>
      <c r="C8" s="3"/>
      <c r="D8" s="3"/>
      <c r="E8" s="3"/>
      <c r="F8" s="3"/>
    </row>
    <row r="9" spans="1:3" ht="18">
      <c r="A9" s="36"/>
      <c r="B9" s="36"/>
      <c r="C9" s="36"/>
    </row>
    <row r="10" spans="4:12" s="1" customFormat="1" ht="15.75">
      <c r="D10" s="127"/>
      <c r="E10" s="127"/>
      <c r="F10" s="134"/>
      <c r="G10" s="1" t="s">
        <v>161</v>
      </c>
      <c r="L10" s="1" t="s">
        <v>161</v>
      </c>
    </row>
    <row r="11" spans="1:13" s="145" customFormat="1" ht="35.25" customHeight="1">
      <c r="A11" s="553" t="s">
        <v>164</v>
      </c>
      <c r="B11" s="553" t="s">
        <v>249</v>
      </c>
      <c r="C11" s="553" t="s">
        <v>316</v>
      </c>
      <c r="D11" s="472" t="s">
        <v>250</v>
      </c>
      <c r="E11" s="566"/>
      <c r="F11" s="566"/>
      <c r="G11" s="567"/>
      <c r="H11" s="472" t="s">
        <v>250</v>
      </c>
      <c r="I11" s="566"/>
      <c r="J11" s="566"/>
      <c r="K11" s="566"/>
      <c r="L11" s="566"/>
      <c r="M11" s="567"/>
    </row>
    <row r="12" spans="1:13" s="145" customFormat="1" ht="35.25" customHeight="1">
      <c r="A12" s="553"/>
      <c r="B12" s="553"/>
      <c r="C12" s="553"/>
      <c r="D12" s="61">
        <v>2007</v>
      </c>
      <c r="E12" s="61">
        <v>2008</v>
      </c>
      <c r="F12" s="146">
        <v>2009</v>
      </c>
      <c r="G12" s="61">
        <v>2010</v>
      </c>
      <c r="H12" s="61">
        <v>2011</v>
      </c>
      <c r="I12" s="61">
        <v>2012</v>
      </c>
      <c r="J12" s="61">
        <v>2013</v>
      </c>
      <c r="K12" s="61">
        <v>2014</v>
      </c>
      <c r="L12" s="61">
        <v>2015</v>
      </c>
      <c r="M12" s="61">
        <v>2016</v>
      </c>
    </row>
    <row r="13" spans="1:13" s="145" customFormat="1" ht="11.25" customHeigh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147">
        <v>7</v>
      </c>
      <c r="H13" s="44">
        <v>3</v>
      </c>
      <c r="I13" s="44">
        <v>4</v>
      </c>
      <c r="J13" s="44">
        <v>5</v>
      </c>
      <c r="K13" s="44">
        <v>6</v>
      </c>
      <c r="L13" s="44">
        <v>7</v>
      </c>
      <c r="M13" s="44">
        <v>8</v>
      </c>
    </row>
    <row r="14" spans="1:13" s="100" customFormat="1" ht="28.5" customHeight="1">
      <c r="A14" s="148" t="s">
        <v>106</v>
      </c>
      <c r="B14" s="72" t="s">
        <v>111</v>
      </c>
      <c r="C14" s="149">
        <f>SUM('zał11-syt finans'!C46)</f>
        <v>3000000</v>
      </c>
      <c r="D14" s="149">
        <f>SUM('zał11-syt finans'!D46)</f>
        <v>2000000</v>
      </c>
      <c r="E14" s="149">
        <f>SUM('zał11-syt finans'!E46)</f>
        <v>0</v>
      </c>
      <c r="F14" s="149">
        <f>SUM('zał11-syt finans'!F46)</f>
        <v>0</v>
      </c>
      <c r="G14" s="149">
        <f>SUM('zał11-syt finans'!G46)</f>
        <v>0</v>
      </c>
      <c r="H14" s="149">
        <f>SUM('zał11-syt finans'!H46)</f>
        <v>0</v>
      </c>
      <c r="I14" s="149">
        <f>SUM('zał11-syt finans'!I46)</f>
        <v>0</v>
      </c>
      <c r="J14" s="149">
        <f>SUM('zał11-syt finans'!J46)</f>
        <v>0</v>
      </c>
      <c r="K14" s="149">
        <f>SUM('zał11-syt finans'!K46)</f>
        <v>0</v>
      </c>
      <c r="L14" s="149">
        <f>SUM('zał11-syt finans'!L46)</f>
        <v>0</v>
      </c>
      <c r="M14" s="149">
        <f>SUM('zał11-syt finans'!M46)</f>
        <v>0</v>
      </c>
    </row>
    <row r="15" spans="1:13" s="100" customFormat="1" ht="24.75" customHeight="1">
      <c r="A15" s="148" t="s">
        <v>107</v>
      </c>
      <c r="B15" s="72" t="s">
        <v>113</v>
      </c>
      <c r="C15" s="149">
        <f>SUM('zał11-syt finans'!C45)</f>
        <v>17733971</v>
      </c>
      <c r="D15" s="149">
        <f>SUM('zał11-syt finans'!D45)</f>
        <v>22523712</v>
      </c>
      <c r="E15" s="149">
        <f>SUM('zał11-syt finans'!E45)</f>
        <v>24358518</v>
      </c>
      <c r="F15" s="149">
        <f>SUM('zał11-syt finans'!F45)</f>
        <v>22289601</v>
      </c>
      <c r="G15" s="149">
        <f>SUM('zał11-syt finans'!G45)</f>
        <v>19129714</v>
      </c>
      <c r="H15" s="149">
        <f>SUM('zał11-syt finans'!H45)</f>
        <v>15037429</v>
      </c>
      <c r="I15" s="149">
        <f>SUM('zał11-syt finans'!I45)</f>
        <v>9498760</v>
      </c>
      <c r="J15" s="149">
        <f>SUM('zał11-syt finans'!J45)</f>
        <v>4499511</v>
      </c>
      <c r="K15" s="149">
        <f>SUM('zał11-syt finans'!K45)</f>
        <v>2025274</v>
      </c>
      <c r="L15" s="149">
        <f>SUM('zał11-syt finans'!L45)</f>
        <v>225274</v>
      </c>
      <c r="M15" s="149">
        <f>SUM('zał11-syt finans'!M45)</f>
        <v>0</v>
      </c>
    </row>
    <row r="16" spans="1:13" s="100" customFormat="1" ht="24.75" customHeight="1">
      <c r="A16" s="148" t="s">
        <v>108</v>
      </c>
      <c r="B16" s="72" t="s">
        <v>114</v>
      </c>
      <c r="C16" s="43" t="s">
        <v>179</v>
      </c>
      <c r="D16" s="43" t="s">
        <v>179</v>
      </c>
      <c r="E16" s="43" t="s">
        <v>179</v>
      </c>
      <c r="F16" s="43" t="s">
        <v>179</v>
      </c>
      <c r="G16" s="150" t="s">
        <v>179</v>
      </c>
      <c r="H16" s="43" t="s">
        <v>179</v>
      </c>
      <c r="I16" s="43" t="s">
        <v>179</v>
      </c>
      <c r="J16" s="43" t="s">
        <v>179</v>
      </c>
      <c r="K16" s="43" t="s">
        <v>179</v>
      </c>
      <c r="L16" s="43" t="s">
        <v>179</v>
      </c>
      <c r="M16" s="43" t="s">
        <v>179</v>
      </c>
    </row>
    <row r="17" spans="1:13" s="100" customFormat="1" ht="24.75" customHeight="1">
      <c r="A17" s="151" t="s">
        <v>97</v>
      </c>
      <c r="B17" s="152" t="s">
        <v>115</v>
      </c>
      <c r="C17" s="43" t="s">
        <v>179</v>
      </c>
      <c r="D17" s="43" t="s">
        <v>179</v>
      </c>
      <c r="E17" s="43" t="s">
        <v>179</v>
      </c>
      <c r="F17" s="43" t="s">
        <v>179</v>
      </c>
      <c r="G17" s="150" t="s">
        <v>179</v>
      </c>
      <c r="H17" s="43" t="s">
        <v>179</v>
      </c>
      <c r="I17" s="43" t="s">
        <v>179</v>
      </c>
      <c r="J17" s="43" t="s">
        <v>179</v>
      </c>
      <c r="K17" s="43" t="s">
        <v>179</v>
      </c>
      <c r="L17" s="43" t="s">
        <v>179</v>
      </c>
      <c r="M17" s="43" t="s">
        <v>179</v>
      </c>
    </row>
    <row r="18" spans="1:13" s="100" customFormat="1" ht="42.75" customHeight="1">
      <c r="A18" s="151" t="s">
        <v>112</v>
      </c>
      <c r="B18" s="72" t="s">
        <v>251</v>
      </c>
      <c r="C18" s="43" t="s">
        <v>179</v>
      </c>
      <c r="D18" s="43" t="s">
        <v>179</v>
      </c>
      <c r="E18" s="43" t="s">
        <v>179</v>
      </c>
      <c r="F18" s="43" t="s">
        <v>179</v>
      </c>
      <c r="G18" s="150" t="s">
        <v>179</v>
      </c>
      <c r="H18" s="43" t="s">
        <v>179</v>
      </c>
      <c r="I18" s="43" t="s">
        <v>179</v>
      </c>
      <c r="J18" s="43" t="s">
        <v>179</v>
      </c>
      <c r="K18" s="43" t="s">
        <v>179</v>
      </c>
      <c r="L18" s="153" t="s">
        <v>179</v>
      </c>
      <c r="M18" s="153" t="s">
        <v>179</v>
      </c>
    </row>
    <row r="19" spans="1:13" s="100" customFormat="1" ht="24.75" customHeight="1">
      <c r="A19" s="154"/>
      <c r="B19" s="72" t="s">
        <v>252</v>
      </c>
      <c r="C19" s="43" t="s">
        <v>179</v>
      </c>
      <c r="D19" s="43" t="s">
        <v>179</v>
      </c>
      <c r="E19" s="43" t="s">
        <v>179</v>
      </c>
      <c r="F19" s="43" t="s">
        <v>179</v>
      </c>
      <c r="G19" s="43" t="s">
        <v>179</v>
      </c>
      <c r="H19" s="43" t="s">
        <v>179</v>
      </c>
      <c r="I19" s="43" t="s">
        <v>179</v>
      </c>
      <c r="J19" s="43" t="s">
        <v>179</v>
      </c>
      <c r="K19" s="43" t="s">
        <v>179</v>
      </c>
      <c r="L19" s="43" t="s">
        <v>179</v>
      </c>
      <c r="M19" s="43" t="s">
        <v>179</v>
      </c>
    </row>
    <row r="20" spans="1:13" s="100" customFormat="1" ht="24.75" customHeight="1">
      <c r="A20" s="154"/>
      <c r="B20" s="72" t="s">
        <v>253</v>
      </c>
      <c r="C20" s="43" t="s">
        <v>179</v>
      </c>
      <c r="D20" s="43" t="s">
        <v>179</v>
      </c>
      <c r="E20" s="43" t="s">
        <v>179</v>
      </c>
      <c r="F20" s="43" t="s">
        <v>179</v>
      </c>
      <c r="G20" s="43" t="s">
        <v>179</v>
      </c>
      <c r="H20" s="43" t="s">
        <v>179</v>
      </c>
      <c r="I20" s="43" t="s">
        <v>179</v>
      </c>
      <c r="J20" s="43" t="s">
        <v>179</v>
      </c>
      <c r="K20" s="43" t="s">
        <v>179</v>
      </c>
      <c r="L20" s="43" t="s">
        <v>179</v>
      </c>
      <c r="M20" s="43" t="s">
        <v>179</v>
      </c>
    </row>
    <row r="21" spans="1:13" s="100" customFormat="1" ht="24.75" customHeight="1">
      <c r="A21" s="154"/>
      <c r="B21" s="72" t="s">
        <v>254</v>
      </c>
      <c r="C21" s="43" t="s">
        <v>179</v>
      </c>
      <c r="D21" s="43" t="s">
        <v>179</v>
      </c>
      <c r="E21" s="43" t="s">
        <v>179</v>
      </c>
      <c r="F21" s="43" t="s">
        <v>179</v>
      </c>
      <c r="G21" s="43" t="s">
        <v>179</v>
      </c>
      <c r="H21" s="43" t="s">
        <v>179</v>
      </c>
      <c r="I21" s="43" t="s">
        <v>179</v>
      </c>
      <c r="J21" s="43" t="s">
        <v>179</v>
      </c>
      <c r="K21" s="43" t="s">
        <v>179</v>
      </c>
      <c r="L21" s="153" t="s">
        <v>179</v>
      </c>
      <c r="M21" s="153" t="s">
        <v>179</v>
      </c>
    </row>
    <row r="22" spans="1:13" s="100" customFormat="1" ht="24.75" customHeight="1">
      <c r="A22" s="155"/>
      <c r="B22" s="72" t="s">
        <v>255</v>
      </c>
      <c r="C22" s="43" t="s">
        <v>179</v>
      </c>
      <c r="D22" s="43" t="s">
        <v>179</v>
      </c>
      <c r="E22" s="43" t="s">
        <v>179</v>
      </c>
      <c r="F22" s="43" t="s">
        <v>179</v>
      </c>
      <c r="G22" s="150" t="s">
        <v>179</v>
      </c>
      <c r="H22" s="43" t="s">
        <v>179</v>
      </c>
      <c r="I22" s="43" t="s">
        <v>179</v>
      </c>
      <c r="J22" s="43" t="s">
        <v>179</v>
      </c>
      <c r="K22" s="43" t="s">
        <v>179</v>
      </c>
      <c r="L22" s="43" t="s">
        <v>179</v>
      </c>
      <c r="M22" s="43" t="s">
        <v>179</v>
      </c>
    </row>
    <row r="23" spans="1:13" s="158" customFormat="1" ht="30" customHeight="1">
      <c r="A23" s="155" t="s">
        <v>116</v>
      </c>
      <c r="B23" s="156" t="s">
        <v>256</v>
      </c>
      <c r="C23" s="157">
        <f>SUM(C14,C15)</f>
        <v>20733971</v>
      </c>
      <c r="D23" s="157">
        <f>SUM(D14,D15,D18)</f>
        <v>24523712</v>
      </c>
      <c r="E23" s="157">
        <f aca="true" t="shared" si="0" ref="E23:M23">SUM(E14,E15,E18)</f>
        <v>24358518</v>
      </c>
      <c r="F23" s="157">
        <f t="shared" si="0"/>
        <v>22289601</v>
      </c>
      <c r="G23" s="157">
        <f t="shared" si="0"/>
        <v>19129714</v>
      </c>
      <c r="H23" s="157">
        <f t="shared" si="0"/>
        <v>15037429</v>
      </c>
      <c r="I23" s="157">
        <f t="shared" si="0"/>
        <v>9498760</v>
      </c>
      <c r="J23" s="157">
        <f t="shared" si="0"/>
        <v>4499511</v>
      </c>
      <c r="K23" s="157">
        <f t="shared" si="0"/>
        <v>2025274</v>
      </c>
      <c r="L23" s="157">
        <f t="shared" si="0"/>
        <v>225274</v>
      </c>
      <c r="M23" s="157">
        <f t="shared" si="0"/>
        <v>0</v>
      </c>
    </row>
    <row r="24" spans="1:13" s="158" customFormat="1" ht="27" customHeight="1">
      <c r="A24" s="155" t="s">
        <v>124</v>
      </c>
      <c r="B24" s="72" t="s">
        <v>125</v>
      </c>
      <c r="C24" s="159">
        <f>SUM('zał11-syt finans'!C11)</f>
        <v>55580665</v>
      </c>
      <c r="D24" s="159">
        <f>SUM('zał11-syt finans'!D11)</f>
        <v>58204780</v>
      </c>
      <c r="E24" s="159">
        <f>SUM('zał11-syt finans'!E11)</f>
        <v>60336224</v>
      </c>
      <c r="F24" s="159">
        <f>SUM('zał11-syt finans'!F11)</f>
        <v>61241267</v>
      </c>
      <c r="G24" s="159">
        <f>SUM('zał11-syt finans'!G11)</f>
        <v>62159887</v>
      </c>
      <c r="H24" s="159">
        <f>SUM('zał11-syt finans'!H11)</f>
        <v>63092285</v>
      </c>
      <c r="I24" s="159">
        <f>SUM('zał11-syt finans'!I11)</f>
        <v>64038669</v>
      </c>
      <c r="J24" s="159">
        <f>SUM('zał11-syt finans'!J11)</f>
        <v>64999249</v>
      </c>
      <c r="K24" s="159">
        <f>SUM('zał11-syt finans'!K11)</f>
        <v>65974237</v>
      </c>
      <c r="L24" s="159">
        <f>SUM('zał11-syt finans'!L11)</f>
        <v>66963850</v>
      </c>
      <c r="M24" s="159">
        <f>SUM('zał11-syt finans'!M11)</f>
        <v>68468308</v>
      </c>
    </row>
    <row r="25" spans="1:13" s="158" customFormat="1" ht="30" customHeight="1">
      <c r="A25" s="155" t="s">
        <v>133</v>
      </c>
      <c r="B25" s="72" t="s">
        <v>257</v>
      </c>
      <c r="C25" s="46">
        <f aca="true" t="shared" si="1" ref="C25:M25">C23/C24*100</f>
        <v>37.30428738123231</v>
      </c>
      <c r="D25" s="46">
        <f t="shared" si="1"/>
        <v>42.1335017501999</v>
      </c>
      <c r="E25" s="46">
        <f t="shared" si="1"/>
        <v>40.37130000047732</v>
      </c>
      <c r="F25" s="46">
        <f t="shared" si="1"/>
        <v>36.39637468636957</v>
      </c>
      <c r="G25" s="160">
        <f t="shared" si="1"/>
        <v>30.775014118027595</v>
      </c>
      <c r="H25" s="46">
        <f t="shared" si="1"/>
        <v>23.83402186178548</v>
      </c>
      <c r="I25" s="46">
        <f t="shared" si="1"/>
        <v>14.832850445408226</v>
      </c>
      <c r="J25" s="46">
        <f t="shared" si="1"/>
        <v>6.9224045957823295</v>
      </c>
      <c r="K25" s="46">
        <f t="shared" si="1"/>
        <v>3.0697952596253595</v>
      </c>
      <c r="L25" s="46">
        <f t="shared" si="1"/>
        <v>0.33641136224993035</v>
      </c>
      <c r="M25" s="46">
        <f t="shared" si="1"/>
        <v>0</v>
      </c>
    </row>
    <row r="26" s="124" customFormat="1" ht="12.75"/>
    <row r="27" s="124" customFormat="1" ht="12.75"/>
    <row r="28" s="124" customFormat="1" ht="12.75"/>
    <row r="29" s="124" customFormat="1" ht="12.75"/>
    <row r="30" s="124" customFormat="1" ht="12.75"/>
    <row r="31" s="124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2007-07-02T11:38:15Z</cp:lastPrinted>
  <dcterms:created xsi:type="dcterms:W3CDTF">1998-12-09T13:02:10Z</dcterms:created>
  <dcterms:modified xsi:type="dcterms:W3CDTF">2007-07-02T11:38:54Z</dcterms:modified>
  <cp:category/>
  <cp:version/>
  <cp:contentType/>
  <cp:contentStatus/>
</cp:coreProperties>
</file>