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0"/>
  </bookViews>
  <sheets>
    <sheet name="zał2-sfin" sheetId="1" r:id="rId1"/>
    <sheet name="zał3-prog wielol" sheetId="2" r:id="rId2"/>
    <sheet name="zał3a-zadania inwestycyjne" sheetId="3" r:id="rId3"/>
    <sheet name="zał4-projekty unia" sheetId="4" r:id="rId4"/>
    <sheet name="zał.5-zlecone" sheetId="5" r:id="rId5"/>
    <sheet name="zał6-poroz" sheetId="6" r:id="rId6"/>
    <sheet name="zał7-gosp" sheetId="7" r:id="rId7"/>
    <sheet name="zał8-F.Ochr Środ" sheetId="8" r:id="rId8"/>
    <sheet name="zał9-F.Geod" sheetId="9" r:id="rId9"/>
    <sheet name="zał10-progn" sheetId="10" r:id="rId10"/>
    <sheet name="zał11-syt finans" sheetId="11" r:id="rId11"/>
  </sheets>
  <definedNames>
    <definedName name="_xlnm.Print_Titles" localSheetId="4">'zał.5-zlecone'!$10:$10</definedName>
    <definedName name="_xlnm.Print_Titles" localSheetId="9">'zał10-progn'!$A:$B</definedName>
    <definedName name="_xlnm.Print_Titles" localSheetId="10">'zał11-syt finans'!$A:$B</definedName>
    <definedName name="_xlnm.Print_Titles" localSheetId="2">'zał3a-zadania inwestycyjne'!$10:$13</definedName>
    <definedName name="_xlnm.Print_Titles" localSheetId="1">'zał3-prog wielol'!$10:$13</definedName>
    <definedName name="_xlnm.Print_Titles" localSheetId="3">'zał4-projekty unia'!$7:$13</definedName>
    <definedName name="_xlnm.Print_Titles" localSheetId="5">'zał6-poroz'!$8:$11</definedName>
  </definedNames>
  <calcPr fullCalcOnLoad="1"/>
</workbook>
</file>

<file path=xl/sharedStrings.xml><?xml version="1.0" encoding="utf-8"?>
<sst xmlns="http://schemas.openxmlformats.org/spreadsheetml/2006/main" count="1374" uniqueCount="583">
  <si>
    <t>Wykonanie 2008 r.</t>
  </si>
  <si>
    <t xml:space="preserve">                     Załącznik Nr 7</t>
  </si>
  <si>
    <t>Wykonanie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</si>
  <si>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</si>
  <si>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</si>
  <si>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</si>
  <si>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</si>
  <si>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</si>
  <si>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</si>
  <si>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</si>
  <si>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</si>
  <si>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</si>
  <si>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</si>
  <si>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</si>
  <si>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</si>
  <si>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</si>
  <si>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</si>
  <si>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</si>
  <si>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</si>
  <si>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>Plan na 2009 r.</t>
  </si>
  <si>
    <t>§ 4370 - Opłata z tytułu zakupu usług telekomunikacyjnych telefoni stacjonarnej</t>
  </si>
  <si>
    <t xml:space="preserve">                     Załącznik Nr 5</t>
  </si>
  <si>
    <t>Powiat Wyszków - 27.497,-zł</t>
  </si>
  <si>
    <t>§ 4430 - Różne opłaty i składki</t>
  </si>
  <si>
    <t>oraz dochodów i wydatków rachunków dochodów własnych na rok 2009</t>
  </si>
  <si>
    <t>Rozliczenie z budżetem z tytułu wpłat nadwyzek środków za 2008r.</t>
  </si>
  <si>
    <t>Wydatki inwestycyjne jednoroczne w 2009 r.</t>
  </si>
  <si>
    <t>Montaż instalacji monitorującej</t>
  </si>
  <si>
    <t>Wymiana centrali alarmowej na budynku</t>
  </si>
  <si>
    <t>Sieć bezprzewodowa PIAP (Urzad)</t>
  </si>
  <si>
    <t>Agregat prądotwórczy dużej mocy (20KW) do budynku Starostwa</t>
  </si>
  <si>
    <t>Montaż instalacji przeciwpożarowej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</si>
  <si>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</si>
  <si>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</si>
  <si>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</si>
  <si>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</si>
  <si>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Miasto Iława - 584.391,-zł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</si>
  <si>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</si>
  <si>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</si>
  <si>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Starostwo Powiatowe</t>
  </si>
  <si>
    <t>Zakup serwera</t>
  </si>
  <si>
    <t>Rok 2011</t>
  </si>
  <si>
    <t>Rok budżetowy 2009 (6+7+8+9)</t>
  </si>
  <si>
    <t>Starostwo Powiatowe w Iławie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</si>
  <si>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</si>
  <si>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</si>
  <si>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</si>
  <si>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</si>
  <si>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</si>
  <si>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Miasto Gmina Susz - 385.000,-</t>
  </si>
  <si>
    <t>Miasto Gmina Kisielice - 297.500,-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</si>
  <si>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</si>
  <si>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</si>
  <si>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</si>
  <si>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</si>
  <si>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</si>
  <si>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</si>
  <si>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Miasto Lubawa - 457.790,-zł</t>
  </si>
  <si>
    <t>Projekt, wykonanie i montaż instalacji elektrycznej</t>
  </si>
  <si>
    <t>Dostosowanie pomieszczeń po PUP w Iławie do potrzeb Wydziałów Starostwa Powiatowego</t>
  </si>
  <si>
    <t>Przebudowa instalacji komputerowej</t>
  </si>
  <si>
    <t>Zakup samochodu pożarniczego ciężkiego ratowniczo-gaśniczego</t>
  </si>
  <si>
    <t>Zakup klimatyzacji do serwerowni</t>
  </si>
  <si>
    <t>Źródła sfinansowania deficytu lub rozdysponowanie                                                           nadwyżki budżetowej w 2009 r.</t>
  </si>
  <si>
    <t>* A Środki i dotacje otrzymane od innych jst oraz innych jednostek zaliczanych do sektora finansów publicznych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</si>
  <si>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</si>
  <si>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</si>
  <si>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</si>
  <si>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</si>
  <si>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</si>
  <si>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</si>
  <si>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</si>
  <si>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</si>
  <si>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</si>
  <si>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</si>
  <si>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</si>
  <si>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</si>
  <si>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 xml:space="preserve">                                      z dnia 26 marca 2009 roku</t>
  </si>
  <si>
    <t>§ 4360 - Opłaty z tytułu zakupu usług telekomunikacyjnych telefonii komórkowej</t>
  </si>
  <si>
    <t>1.6</t>
  </si>
  <si>
    <t>Priorytet 2. Turystyka</t>
  </si>
  <si>
    <t>Gmina Wiejska Lubawa: 11.580,-zł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</si>
  <si>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</si>
  <si>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</si>
  <si>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</si>
  <si>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</si>
  <si>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</si>
  <si>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</si>
  <si>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</si>
  <si>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</si>
  <si>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</si>
  <si>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</si>
  <si>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</si>
  <si>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</si>
  <si>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</si>
  <si>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</si>
  <si>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</si>
  <si>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</si>
  <si>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</si>
  <si>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</si>
  <si>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2.4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</si>
  <si>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</si>
  <si>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</si>
  <si>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</si>
  <si>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**     środki własne j.s.t., współfinansowanie z budżetu państwa oraz inne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</si>
  <si>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</si>
  <si>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</si>
  <si>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</si>
  <si>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</si>
  <si>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</si>
  <si>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</si>
  <si>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Limity wydatków na wieloletnie programy inwestycyjne w latach 2009-2011</t>
  </si>
  <si>
    <t>Zakup kosiarki bijakowej</t>
  </si>
  <si>
    <t>Zakup kserokopiarki</t>
  </si>
  <si>
    <t>ZSR Kisielice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</si>
  <si>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</si>
  <si>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</si>
  <si>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</si>
  <si>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</si>
  <si>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</si>
  <si>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</si>
  <si>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</si>
  <si>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</si>
  <si>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</si>
  <si>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</si>
  <si>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</si>
  <si>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</si>
  <si>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</si>
  <si>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</si>
  <si>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</si>
  <si>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</si>
  <si>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85141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</si>
  <si>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</si>
  <si>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</si>
  <si>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</si>
  <si>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</si>
  <si>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</si>
  <si>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</si>
  <si>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</si>
  <si>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</si>
  <si>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</si>
  <si>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</si>
  <si>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</si>
  <si>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>Dotacja dla budżetów innych powiatów na pokrycie kosztów utrzymania dzieci w rodzinie zastępczej</t>
  </si>
  <si>
    <t>Gmina Miejska Lubawa - 247.064,-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</si>
  <si>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</si>
  <si>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</si>
  <si>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</si>
  <si>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</si>
  <si>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</si>
  <si>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</si>
  <si>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</si>
  <si>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</si>
  <si>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</si>
  <si>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</si>
  <si>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</si>
  <si>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</si>
  <si>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</si>
  <si>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</si>
  <si>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</si>
  <si>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</si>
  <si>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>Gmina Wiejska Lubawa - 100.000 zł</t>
  </si>
  <si>
    <t xml:space="preserve">Pomoc finansowa na realizację zadania w zakresie prowadzenia zajęć rekreacyjno-sportowych dla dzieci i młodzieży w zakresie żeglarstwa </t>
  </si>
  <si>
    <t>Gmina Miejska Iława - 36.800,-zł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</si>
  <si>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</si>
  <si>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</si>
  <si>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</si>
  <si>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</si>
  <si>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</si>
  <si>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</si>
  <si>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</si>
  <si>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</si>
  <si>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</si>
  <si>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</si>
  <si>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</si>
  <si>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</si>
  <si>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</si>
  <si>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</si>
  <si>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</si>
  <si>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</si>
  <si>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</si>
  <si>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</si>
  <si>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</si>
  <si>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</si>
  <si>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</si>
  <si>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</si>
  <si>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</si>
  <si>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</si>
  <si>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</si>
  <si>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</si>
  <si>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</si>
  <si>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</si>
  <si>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</si>
  <si>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</si>
  <si>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</si>
  <si>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</si>
  <si>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</si>
  <si>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</si>
  <si>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</si>
  <si>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</si>
  <si>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</si>
  <si>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</si>
  <si>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</si>
  <si>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</si>
  <si>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</si>
  <si>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</si>
  <si>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</si>
  <si>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</si>
  <si>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</si>
  <si>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</si>
  <si>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</si>
  <si>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</si>
  <si>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</si>
  <si>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</si>
  <si>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</si>
  <si>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</si>
  <si>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</si>
  <si>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</si>
  <si>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</si>
  <si>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</si>
  <si>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</si>
  <si>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</si>
  <si>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</si>
  <si>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</si>
  <si>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</si>
  <si>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</si>
  <si>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</si>
  <si>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</si>
  <si>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</si>
  <si>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</si>
  <si>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</si>
  <si>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</si>
  <si>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</si>
  <si>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</si>
  <si>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</si>
  <si>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</si>
  <si>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</si>
  <si>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</si>
  <si>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</si>
  <si>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</si>
  <si>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</si>
  <si>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</si>
  <si>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</si>
  <si>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</si>
  <si>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</si>
  <si>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</si>
  <si>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</si>
  <si>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</si>
  <si>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</si>
  <si>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</si>
  <si>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</si>
  <si>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</si>
  <si>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</si>
  <si>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</si>
  <si>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</si>
  <si>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</si>
  <si>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</si>
  <si>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</si>
  <si>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</si>
  <si>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</si>
  <si>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</si>
  <si>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</si>
  <si>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</si>
  <si>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</si>
  <si>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</si>
  <si>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</si>
  <si>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</si>
  <si>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</si>
  <si>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</si>
  <si>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</si>
  <si>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</si>
  <si>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</si>
  <si>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</si>
  <si>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</si>
  <si>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</si>
  <si>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</si>
  <si>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</si>
  <si>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</si>
  <si>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</si>
  <si>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</si>
  <si>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</si>
  <si>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</si>
  <si>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</si>
  <si>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</si>
  <si>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</si>
  <si>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</si>
  <si>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</si>
  <si>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</si>
  <si>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</si>
  <si>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</si>
  <si>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</si>
  <si>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</si>
  <si>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</si>
  <si>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</si>
  <si>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</si>
  <si>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</si>
  <si>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</si>
  <si>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</si>
  <si>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</si>
  <si>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</si>
  <si>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</si>
  <si>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</si>
  <si>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</si>
  <si>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</si>
  <si>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</si>
  <si>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</si>
  <si>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</si>
  <si>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</si>
  <si>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</si>
  <si>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</si>
  <si>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</si>
  <si>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</si>
  <si>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</si>
  <si>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</si>
  <si>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</si>
  <si>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</si>
  <si>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</si>
  <si>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</si>
  <si>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</si>
  <si>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</si>
  <si>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</si>
  <si>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</si>
  <si>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</si>
  <si>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</si>
  <si>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</si>
  <si>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</si>
  <si>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</si>
  <si>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</si>
  <si>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</si>
  <si>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</si>
  <si>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</si>
  <si>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</si>
  <si>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</si>
  <si>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</si>
  <si>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</si>
  <si>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</si>
  <si>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</si>
  <si>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 xml:space="preserve">                                      z dnia 26 marca 2009roku</t>
  </si>
  <si>
    <t>OŚWIATA I WYCHOWANIE</t>
  </si>
  <si>
    <t xml:space="preserve">                     Załącznik Nr 10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</si>
  <si>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</si>
  <si>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</si>
  <si>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</si>
  <si>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</si>
  <si>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</si>
  <si>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</si>
  <si>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Działanie 9.2 Podniesienie atrakcyjnosci i jakości szkolnictwa zawodowego</t>
  </si>
  <si>
    <t>Zajęcia pozalekcyjne dla uczniów szkół zawodowych powiatu iławskiego - ZSR Kisielice</t>
  </si>
  <si>
    <t>"Aktywizacja zawodowa i społeczna osób zagrożonych wykluczeniem społecznym z powiatu iławskiego - PCPR Iława</t>
  </si>
  <si>
    <t>"Wspólny cel - Wspólny rozwój" - Powiatowy Urząd Pracy</t>
  </si>
  <si>
    <t xml:space="preserve">Program Operacyjny Kapitał Ludzki </t>
  </si>
  <si>
    <t>Młodzież z przyszłością. Wyrównywanie szans edukacyjnych uczniów w Powiecie Iławskim - ZS Lubawa</t>
  </si>
  <si>
    <t>Młodość-start! Wyrównywanie szans młodziezy na współczesnym rynku pracy - ZS Susz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</si>
  <si>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</si>
  <si>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</si>
  <si>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</si>
  <si>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</si>
  <si>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</si>
  <si>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</si>
  <si>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</si>
  <si>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</si>
  <si>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</si>
  <si>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</si>
  <si>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</si>
  <si>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</si>
  <si>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</si>
  <si>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</si>
  <si>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</si>
  <si>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</si>
  <si>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</si>
  <si>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</si>
  <si>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</si>
  <si>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</si>
  <si>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</si>
  <si>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</si>
  <si>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</si>
  <si>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</si>
  <si>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Ochrony Środowiska i Gospodarki Wodnej </t>
  </si>
  <si>
    <t>§ 0920 - Pozostałe odsetki</t>
  </si>
  <si>
    <t>Dotacja dla budżetu Miasta Katowice na pokrycie kosztów utrzymania dziecka w rodzinie zastępczej</t>
  </si>
  <si>
    <t>§ 4260 - Zakup energii</t>
  </si>
  <si>
    <t>RACHUNEK DOCHODÓW WŁASNYCH w tym: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</si>
  <si>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</si>
  <si>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</si>
  <si>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</si>
  <si>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</si>
  <si>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</si>
  <si>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</si>
  <si>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</si>
  <si>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</si>
  <si>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</si>
  <si>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</si>
  <si>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</si>
  <si>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</si>
  <si>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</si>
  <si>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</si>
  <si>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</si>
  <si>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</si>
  <si>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</si>
  <si>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</si>
  <si>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</si>
  <si>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</si>
  <si>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</si>
  <si>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</si>
  <si>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</si>
  <si>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</si>
  <si>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</si>
  <si>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</si>
  <si>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</si>
  <si>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</si>
  <si>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</si>
  <si>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</si>
  <si>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</si>
  <si>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</si>
  <si>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</si>
  <si>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</si>
  <si>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</si>
  <si>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</si>
  <si>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</si>
  <si>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</si>
  <si>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</si>
  <si>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</si>
  <si>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</si>
  <si>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</si>
  <si>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</si>
  <si>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</si>
  <si>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</si>
  <si>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</si>
  <si>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</si>
  <si>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</si>
  <si>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</si>
  <si>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</si>
  <si>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</si>
  <si>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Ratownictwo medyczne</t>
  </si>
  <si>
    <t>środki pochodzące z innych źródeł</t>
  </si>
  <si>
    <t xml:space="preserve">                     Załącznik Nr 11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</si>
  <si>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</si>
  <si>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</si>
  <si>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</si>
  <si>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</si>
  <si>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</si>
  <si>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Przebudowa drogi powiatowej Nr 1910N Susz-Kisielice na odcinkach 0+270-0+430,2+006-5+906,6+306-6+806,10+646-11+046,11+346-12+746,13+146-13+486,13+600-4+860</t>
  </si>
  <si>
    <t>Przebudowa drogi powiatowej Nr 1222N Lubawa-Rumienica – I etap długości 2,65 km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</si>
  <si>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</si>
  <si>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</si>
  <si>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</si>
  <si>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</si>
  <si>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Dotacje celowe otrzymane z budżetu państwa na inwestycje i zakupy inwestycyjne z zakresu administracji rządowej oraz inne zadania zlecone ustawami realizowane przez powiat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</si>
  <si>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</si>
  <si>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</si>
  <si>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</si>
  <si>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</si>
  <si>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</si>
  <si>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</si>
  <si>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</si>
  <si>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</si>
  <si>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</si>
  <si>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</si>
  <si>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</si>
  <si>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</si>
  <si>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</si>
  <si>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</si>
  <si>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</si>
  <si>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</si>
  <si>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</si>
  <si>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</si>
  <si>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</si>
  <si>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</si>
  <si>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</si>
  <si>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</si>
  <si>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</si>
  <si>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</si>
  <si>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</si>
  <si>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</si>
  <si>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</si>
  <si>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</si>
  <si>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</si>
  <si>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</si>
  <si>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</si>
  <si>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</si>
  <si>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</si>
  <si>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</si>
  <si>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4010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</si>
  <si>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</si>
  <si>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</si>
  <si>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</si>
  <si>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</si>
  <si>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</si>
  <si>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</si>
  <si>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4280</t>
  </si>
  <si>
    <t>Zakup usług zdrowotnych</t>
  </si>
  <si>
    <t>4370</t>
  </si>
  <si>
    <t>Opłaty z tytułu zakupu usług komunikacyjnych telefonii stacjonarnej</t>
  </si>
  <si>
    <t>4410</t>
  </si>
  <si>
    <t>Podróże służbowe krajowe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</si>
  <si>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</si>
  <si>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</si>
  <si>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</si>
  <si>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</si>
  <si>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</si>
  <si>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</si>
  <si>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</si>
  <si>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</si>
  <si>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</si>
  <si>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</si>
  <si>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</si>
  <si>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</si>
  <si>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</si>
  <si>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</si>
  <si>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</si>
  <si>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</si>
  <si>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</si>
  <si>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</si>
  <si>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</si>
  <si>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</si>
  <si>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</si>
  <si>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</si>
  <si>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</si>
  <si>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</si>
  <si>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</si>
  <si>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</si>
  <si>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</si>
  <si>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</si>
  <si>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</si>
  <si>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</si>
  <si>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</si>
  <si>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</si>
  <si>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</si>
  <si>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</si>
  <si>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6060</t>
  </si>
  <si>
    <t>Wydatki na zakupy inwestycyjne jednostek budżetowych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</si>
  <si>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</si>
  <si>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</si>
  <si>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</si>
  <si>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Wykonanie 2008</t>
  </si>
  <si>
    <t>Składki na ubezpieczenie zdrowotne</t>
  </si>
  <si>
    <t>3020</t>
  </si>
  <si>
    <t xml:space="preserve">Wydatki osobowe nie zaliczone do wynagrodzeń </t>
  </si>
  <si>
    <t>Wynagrodzenie bezosobowe</t>
  </si>
  <si>
    <t>4240</t>
  </si>
  <si>
    <t>Zakup pomocy naukowych, dydaktycznych i książek</t>
  </si>
  <si>
    <t xml:space="preserve">          zleconych powiatowi i innych zadań zleconych ustawami w 2009 roku</t>
  </si>
  <si>
    <t xml:space="preserve">                     Załącznik Nr 3a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</si>
  <si>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</si>
  <si>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</si>
  <si>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</si>
  <si>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</si>
  <si>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</si>
  <si>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</si>
  <si>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</si>
  <si>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</si>
  <si>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</si>
  <si>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</si>
  <si>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</si>
  <si>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Dochody do przekazania do budżetu państwa lub budżetu j.s.t.</t>
  </si>
  <si>
    <t>01008</t>
  </si>
  <si>
    <t>Melioracje wodne</t>
  </si>
  <si>
    <t>§ 4170 - Wynagrodzenia bezosobowe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</si>
  <si>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</si>
  <si>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</si>
  <si>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</si>
  <si>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</si>
  <si>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Komenda Powiatowa Państwowej Straży Pożarnej</t>
  </si>
  <si>
    <t xml:space="preserve">Nazwa zadania inwestycyjnego </t>
  </si>
  <si>
    <t>Zakup usług remontowych</t>
  </si>
  <si>
    <t>Wydatki inwestycyjne jednostek budżetowych</t>
  </si>
  <si>
    <t>Wynagrodzenia osobowe pracowników</t>
  </si>
  <si>
    <t>Świadczenia społeczne</t>
  </si>
  <si>
    <t>2.5</t>
  </si>
  <si>
    <t>2.6</t>
  </si>
  <si>
    <t>2.7</t>
  </si>
  <si>
    <t>Przebudowa drogi powiatowej Nr 1231N Gierłoż-Zielkowo-Byszwałd w miejsowości Byszwałd, gmina Lubawa</t>
  </si>
  <si>
    <t>Przebudowa drogi powiatowej Nr 1231N Gierłoż-Zielkowo-Byszwałd w miejsowości Byszwałd, gmina Lubawa (2007-2010)</t>
  </si>
  <si>
    <t xml:space="preserve">Przebudowa drogi powiatowej Nr 1208N Ogrodzieniec-Gardzień odcinek km 0+000-5+478 Ogrodzieniec-Trupel </t>
  </si>
  <si>
    <t>Przebudowa drogi powiatowej Nr 1208N Ogrodzieniec-Gardzień odcinek km 0+000-5+478 Ogrodzieniec-Trupel  (2005-2011)</t>
  </si>
  <si>
    <t>Program Operacyjny Kapitał Ludzki - ZSR KISIELICE</t>
  </si>
  <si>
    <t>Kredyty zaciągnięte w danym roku budżetowym:</t>
  </si>
  <si>
    <t>IX.1</t>
  </si>
  <si>
    <t>IX.2</t>
  </si>
  <si>
    <t>X.1</t>
  </si>
  <si>
    <t>X.2</t>
  </si>
  <si>
    <t>Plan na rok 2009</t>
  </si>
  <si>
    <t xml:space="preserve">                                      do Uchwały Rady Powiatu Nr XXVI/190/09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</si>
</sst>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4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u val="single"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7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0" xfId="17" applyFont="1">
      <alignment/>
      <protection/>
    </xf>
    <xf numFmtId="0" fontId="10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17" applyFont="1">
      <alignment/>
      <protection/>
    </xf>
    <xf numFmtId="0" fontId="26" fillId="0" borderId="10" xfId="17" applyFont="1" applyBorder="1">
      <alignment/>
      <protection/>
    </xf>
    <xf numFmtId="0" fontId="31" fillId="0" borderId="0" xfId="17" applyFont="1">
      <alignment/>
      <protection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/>
    </xf>
    <xf numFmtId="164" fontId="33" fillId="0" borderId="35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5" fillId="0" borderId="3" xfId="17" applyFont="1" applyFill="1" applyBorder="1">
      <alignment/>
      <protection/>
    </xf>
    <xf numFmtId="3" fontId="25" fillId="0" borderId="10" xfId="17" applyNumberFormat="1" applyFont="1" applyBorder="1">
      <alignment/>
      <protection/>
    </xf>
    <xf numFmtId="0" fontId="25" fillId="0" borderId="10" xfId="17" applyFont="1" applyFill="1" applyBorder="1">
      <alignment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17" xfId="17" applyNumberFormat="1" applyFont="1" applyBorder="1">
      <alignment/>
      <protection/>
    </xf>
    <xf numFmtId="3" fontId="25" fillId="0" borderId="8" xfId="17" applyNumberFormat="1" applyFont="1" applyBorder="1">
      <alignment/>
      <protection/>
    </xf>
    <xf numFmtId="3" fontId="25" fillId="0" borderId="18" xfId="17" applyNumberFormat="1" applyFont="1" applyBorder="1" applyAlignment="1">
      <alignment horizontal="center"/>
      <protection/>
    </xf>
    <xf numFmtId="3" fontId="25" fillId="0" borderId="17" xfId="17" applyNumberFormat="1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20" xfId="17" applyNumberFormat="1" applyFont="1" applyBorder="1" applyAlignment="1">
      <alignment horizontal="center"/>
      <protection/>
    </xf>
    <xf numFmtId="3" fontId="25" fillId="0" borderId="21" xfId="17" applyNumberFormat="1" applyFont="1" applyBorder="1" applyAlignment="1">
      <alignment horizontal="center"/>
      <protection/>
    </xf>
    <xf numFmtId="3" fontId="25" fillId="0" borderId="22" xfId="17" applyNumberFormat="1" applyFont="1" applyBorder="1" applyAlignment="1">
      <alignment horizontal="center"/>
      <protection/>
    </xf>
    <xf numFmtId="3" fontId="25" fillId="0" borderId="23" xfId="17" applyNumberFormat="1" applyFont="1" applyBorder="1" applyAlignment="1">
      <alignment horizontal="center"/>
      <protection/>
    </xf>
    <xf numFmtId="3" fontId="25" fillId="0" borderId="24" xfId="17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14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left" vertical="center" indent="1"/>
    </xf>
    <xf numFmtId="0" fontId="4" fillId="0" borderId="4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left" vertical="center" indent="1"/>
    </xf>
    <xf numFmtId="3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164" fontId="5" fillId="0" borderId="4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64" fontId="7" fillId="0" borderId="49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164" fontId="7" fillId="0" borderId="5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164" fontId="5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5" xfId="0" applyFont="1" applyBorder="1" applyAlignment="1" quotePrefix="1">
      <alignment horizontal="left" vertical="center" indent="1"/>
    </xf>
    <xf numFmtId="164" fontId="7" fillId="0" borderId="55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5" fillId="0" borderId="10" xfId="17" applyFont="1" applyBorder="1" applyAlignment="1">
      <alignment horizontal="center" vertical="center" wrapText="1"/>
      <protection/>
    </xf>
    <xf numFmtId="0" fontId="38" fillId="0" borderId="10" xfId="17" applyFont="1" applyBorder="1" applyAlignment="1">
      <alignment horizontal="center" vertical="center" wrapText="1"/>
      <protection/>
    </xf>
    <xf numFmtId="0" fontId="39" fillId="0" borderId="10" xfId="17" applyFont="1" applyFill="1" applyBorder="1" applyAlignment="1">
      <alignment horizontal="center" vertical="center"/>
      <protection/>
    </xf>
    <xf numFmtId="0" fontId="39" fillId="0" borderId="10" xfId="17" applyFont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/>
      <protection/>
    </xf>
    <xf numFmtId="0" fontId="23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40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40" fillId="0" borderId="10" xfId="18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3" fillId="0" borderId="10" xfId="17" applyNumberFormat="1" applyFont="1" applyBorder="1">
      <alignment/>
      <protection/>
    </xf>
    <xf numFmtId="0" fontId="25" fillId="0" borderId="0" xfId="17" applyFont="1">
      <alignment/>
      <protection/>
    </xf>
    <xf numFmtId="3" fontId="25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center" vertical="top" wrapText="1"/>
    </xf>
    <xf numFmtId="0" fontId="14" fillId="0" borderId="16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1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25" fillId="0" borderId="10" xfId="17" applyNumberFormat="1" applyFont="1" applyFill="1" applyBorder="1">
      <alignment/>
      <protection/>
    </xf>
    <xf numFmtId="3" fontId="25" fillId="0" borderId="17" xfId="17" applyNumberFormat="1" applyFont="1" applyFill="1" applyBorder="1">
      <alignment/>
      <protection/>
    </xf>
    <xf numFmtId="3" fontId="25" fillId="0" borderId="8" xfId="17" applyNumberFormat="1" applyFont="1" applyFill="1" applyBorder="1">
      <alignment/>
      <protection/>
    </xf>
    <xf numFmtId="3" fontId="25" fillId="0" borderId="18" xfId="17" applyNumberFormat="1" applyFont="1" applyFill="1" applyBorder="1" applyAlignment="1">
      <alignment horizontal="center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19" xfId="17" applyNumberFormat="1" applyFont="1" applyFill="1" applyBorder="1" applyAlignment="1">
      <alignment horizontal="center"/>
      <protection/>
    </xf>
    <xf numFmtId="3" fontId="25" fillId="0" borderId="20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5" fillId="0" borderId="22" xfId="17" applyNumberFormat="1" applyFont="1" applyFill="1" applyBorder="1" applyAlignment="1">
      <alignment horizontal="center"/>
      <protection/>
    </xf>
    <xf numFmtId="3" fontId="25" fillId="0" borderId="23" xfId="17" applyNumberFormat="1" applyFont="1" applyFill="1" applyBorder="1" applyAlignment="1">
      <alignment horizontal="center"/>
      <protection/>
    </xf>
    <xf numFmtId="3" fontId="25" fillId="0" borderId="16" xfId="17" applyNumberFormat="1" applyFont="1" applyFill="1" applyBorder="1" applyAlignment="1">
      <alignment horizontal="center"/>
      <protection/>
    </xf>
    <xf numFmtId="3" fontId="25" fillId="0" borderId="24" xfId="17" applyNumberFormat="1" applyFont="1" applyFill="1" applyBorder="1" applyAlignment="1">
      <alignment horizontal="center"/>
      <protection/>
    </xf>
    <xf numFmtId="0" fontId="25" fillId="0" borderId="10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center" vertical="center" wrapText="1"/>
      <protection/>
    </xf>
    <xf numFmtId="0" fontId="26" fillId="0" borderId="10" xfId="17" applyFont="1" applyFill="1" applyBorder="1" applyAlignment="1">
      <alignment horizontal="center" vertical="center"/>
      <protection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vertical="center"/>
    </xf>
    <xf numFmtId="4" fontId="40" fillId="0" borderId="3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25" fillId="0" borderId="8" xfId="17" applyNumberFormat="1" applyFont="1" applyFill="1" applyBorder="1" applyAlignment="1">
      <alignment horizontal="center"/>
      <protection/>
    </xf>
    <xf numFmtId="3" fontId="25" fillId="0" borderId="10" xfId="17" applyNumberFormat="1" applyFont="1" applyFill="1" applyBorder="1" applyAlignment="1">
      <alignment horizontal="center"/>
      <protection/>
    </xf>
    <xf numFmtId="3" fontId="25" fillId="0" borderId="3" xfId="17" applyNumberFormat="1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3" fontId="26" fillId="0" borderId="16" xfId="17" applyNumberFormat="1" applyFont="1" applyBorder="1" applyAlignment="1">
      <alignment horizontal="center"/>
      <protection/>
    </xf>
    <xf numFmtId="3" fontId="0" fillId="0" borderId="3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center"/>
      <protection/>
    </xf>
    <xf numFmtId="0" fontId="26" fillId="0" borderId="10" xfId="17" applyFont="1" applyFill="1" applyBorder="1">
      <alignment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16" xfId="17" applyFont="1" applyFill="1" applyBorder="1">
      <alignment/>
      <protection/>
    </xf>
    <xf numFmtId="0" fontId="25" fillId="0" borderId="10" xfId="1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25" fillId="0" borderId="21" xfId="17" applyFont="1" applyBorder="1" applyAlignment="1">
      <alignment horizontal="center" vertical="center" wrapText="1"/>
      <protection/>
    </xf>
    <xf numFmtId="0" fontId="25" fillId="0" borderId="16" xfId="17" applyFont="1" applyBorder="1" applyAlignment="1">
      <alignment horizontal="center" vertical="center" wrapText="1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5" fillId="0" borderId="17" xfId="17" applyFont="1" applyBorder="1" applyAlignment="1">
      <alignment horizontal="center" vertical="center"/>
      <protection/>
    </xf>
    <xf numFmtId="0" fontId="25" fillId="0" borderId="21" xfId="17" applyFont="1" applyBorder="1" applyAlignment="1">
      <alignment horizontal="center" vertical="center"/>
      <protection/>
    </xf>
    <xf numFmtId="0" fontId="25" fillId="0" borderId="16" xfId="17" applyFont="1" applyBorder="1" applyAlignment="1">
      <alignment horizontal="center" vertical="center"/>
      <protection/>
    </xf>
    <xf numFmtId="0" fontId="25" fillId="0" borderId="17" xfId="17" applyFont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25" fillId="0" borderId="18" xfId="17" applyFont="1" applyFill="1" applyBorder="1" applyAlignment="1">
      <alignment horizontal="left" vertical="center"/>
      <protection/>
    </xf>
    <xf numFmtId="0" fontId="0" fillId="0" borderId="5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5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6" fillId="0" borderId="17" xfId="17" applyNumberFormat="1" applyFont="1" applyBorder="1" applyAlignment="1">
      <alignment horizontal="center"/>
      <protection/>
    </xf>
    <xf numFmtId="3" fontId="26" fillId="0" borderId="21" xfId="17" applyNumberFormat="1" applyFont="1" applyBorder="1" applyAlignment="1">
      <alignment horizontal="center"/>
      <protection/>
    </xf>
    <xf numFmtId="3" fontId="26" fillId="0" borderId="16" xfId="17" applyNumberFormat="1" applyFont="1" applyBorder="1" applyAlignment="1">
      <alignment horizontal="center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7" xfId="17" applyFont="1" applyFill="1" applyBorder="1" applyAlignment="1">
      <alignment horizontal="center" vertical="center" wrapText="1"/>
      <protection/>
    </xf>
    <xf numFmtId="0" fontId="25" fillId="0" borderId="21" xfId="17" applyFont="1" applyFill="1" applyBorder="1" applyAlignment="1">
      <alignment horizontal="center" vertical="center" wrapText="1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 wrapText="1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25" fillId="0" borderId="8" xfId="17" applyFont="1" applyBorder="1" applyAlignment="1">
      <alignment horizontal="center"/>
      <protection/>
    </xf>
    <xf numFmtId="0" fontId="25" fillId="0" borderId="3" xfId="17" applyFont="1" applyBorder="1" applyAlignment="1">
      <alignment horizontal="center"/>
      <protection/>
    </xf>
    <xf numFmtId="0" fontId="25" fillId="0" borderId="0" xfId="17" applyFont="1" applyAlignment="1">
      <alignment horizontal="left"/>
      <protection/>
    </xf>
    <xf numFmtId="0" fontId="23" fillId="0" borderId="10" xfId="17" applyFont="1" applyBorder="1" applyAlignment="1">
      <alignment horizontal="center"/>
      <protection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23" fillId="0" borderId="0" xfId="17" applyFont="1" applyAlignment="1">
      <alignment horizontal="center"/>
      <protection/>
    </xf>
    <xf numFmtId="0" fontId="25" fillId="0" borderId="10" xfId="17" applyFont="1" applyBorder="1" applyAlignment="1">
      <alignment horizontal="center" vertical="center"/>
      <protection/>
    </xf>
    <xf numFmtId="0" fontId="25" fillId="0" borderId="10" xfId="17" applyFont="1" applyBorder="1" applyAlignment="1">
      <alignment horizontal="center" vertical="center" wrapText="1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6" fillId="0" borderId="17" xfId="17" applyNumberFormat="1" applyFont="1" applyFill="1" applyBorder="1" applyAlignment="1">
      <alignment horizontal="center"/>
      <protection/>
    </xf>
    <xf numFmtId="3" fontId="26" fillId="0" borderId="21" xfId="17" applyNumberFormat="1" applyFont="1" applyFill="1" applyBorder="1" applyAlignment="1">
      <alignment horizontal="center"/>
      <protection/>
    </xf>
    <xf numFmtId="3" fontId="26" fillId="0" borderId="16" xfId="1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" name="Line 2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7" name="Line 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9" name="Line 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0" name="Line 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1" name="Line 3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2" name="Line 3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3" name="Line 3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" name="Line 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6" name="Line 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7" name="Line 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" name="Line 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" name="Line 3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" name="Line 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2" name="Line 4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3" name="Line 4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" name="Line 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" name="Line 4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" name="Line 4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7" name="Line 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9" name="Line 4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0" name="Line 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" name="Line 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" name="Line 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4" name="Line 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5" name="Line 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6" name="Line 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" name="Line 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" name="Line 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" name="Line 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0" name="Line 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" name="Line 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1" name="Line 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" name="Line 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" name="Line 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7" name="Line 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8" name="Line 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" name="Line 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0" name="Line 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1" name="Line 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2" name="Line 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3" name="Line 8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4" name="Line 8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5" name="Line 8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6" name="Line 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" name="Line 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" name="Line 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" name="Line 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0" name="Line 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1" name="Line 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2" name="Line 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3" name="Line 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4" name="Line 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" name="Line 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" name="Line 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" name="Line 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" name="Line 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1" name="Line 111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2" name="Line 11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8" name="Line 28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9" name="Line 28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3" name="Line 29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8" name="Line 46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9" name="Line 46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3" name="Line 47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4" name="Line 47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49" name="Line 64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50" name="Line 650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4" name="Line 65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5" name="Line 655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7" name="Line 827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8" name="Line 82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2" name="Line 832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3" name="Line 83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4" name="Line 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5" name="Line 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6" name="Line 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7" name="Line 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29" name="Line 5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30" name="Line 6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4" name="Line 10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5" name="Line 11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6" name="Line 18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7" name="Line 18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1" name="Line 18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2" name="Line 18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6" name="Line 36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7" name="Line 36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1" name="Line 36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2" name="Line 36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7" name="Line 54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8" name="Line 544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2" name="Line 54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3" name="Line 549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012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5" name="Line 721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6" name="Line 72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0" name="Line 726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1" name="Line 72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00500" y="258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005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19" name="Line 25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20" name="Line 26"/>
        <xdr:cNvSpPr>
          <a:spLocks/>
        </xdr:cNvSpPr>
      </xdr:nvSpPr>
      <xdr:spPr>
        <a:xfrm>
          <a:off x="1504950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1" name="Line 27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2" name="Line 28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3" name="Line 29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4" name="Line 30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25" name="Line 31"/>
        <xdr:cNvSpPr>
          <a:spLocks/>
        </xdr:cNvSpPr>
      </xdr:nvSpPr>
      <xdr:spPr>
        <a:xfrm>
          <a:off x="1504950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6" name="Line 32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27" name="Line 33"/>
        <xdr:cNvSpPr>
          <a:spLocks/>
        </xdr:cNvSpPr>
      </xdr:nvSpPr>
      <xdr:spPr>
        <a:xfrm>
          <a:off x="1514475" y="1987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tabSelected="1" workbookViewId="0" topLeftCell="A1">
      <selection activeCell="L1" sqref="K1:L2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122" customFormat="1" ht="19.5" customHeight="1">
      <c r="A1" s="699" t="s">
        <v>63</v>
      </c>
      <c r="B1" s="699"/>
      <c r="C1" s="699"/>
      <c r="D1" s="699"/>
      <c r="E1" s="699"/>
      <c r="F1" s="699"/>
    </row>
    <row r="2" spans="1:6" s="122" customFormat="1" ht="15" customHeight="1">
      <c r="A2" s="699"/>
      <c r="B2" s="699"/>
      <c r="C2" s="699"/>
      <c r="D2" s="699"/>
      <c r="E2" s="699"/>
      <c r="F2" s="699"/>
    </row>
    <row r="3" s="122" customFormat="1" ht="13.5" thickBot="1">
      <c r="F3" s="238" t="s">
        <v>269</v>
      </c>
    </row>
    <row r="4" spans="1:6" s="122" customFormat="1" ht="15.75" thickBot="1">
      <c r="A4" s="204" t="s">
        <v>212</v>
      </c>
      <c r="B4" s="204" t="s">
        <v>209</v>
      </c>
      <c r="C4" s="204" t="s">
        <v>228</v>
      </c>
      <c r="D4" s="205" t="s">
        <v>228</v>
      </c>
      <c r="E4" s="697" t="s">
        <v>210</v>
      </c>
      <c r="F4" s="698"/>
    </row>
    <row r="5" spans="1:6" s="122" customFormat="1" ht="30.75" thickBot="1">
      <c r="A5" s="206"/>
      <c r="B5" s="206"/>
      <c r="C5" s="207" t="s">
        <v>229</v>
      </c>
      <c r="D5" s="208" t="s">
        <v>160</v>
      </c>
      <c r="E5" s="202" t="s">
        <v>0</v>
      </c>
      <c r="F5" s="202" t="s">
        <v>581</v>
      </c>
    </row>
    <row r="6" spans="1:6" s="122" customFormat="1" ht="9" customHeight="1" thickBot="1">
      <c r="A6" s="203">
        <v>1</v>
      </c>
      <c r="B6" s="203">
        <v>2</v>
      </c>
      <c r="C6" s="203">
        <v>3</v>
      </c>
      <c r="D6" s="203"/>
      <c r="E6" s="203">
        <v>3</v>
      </c>
      <c r="F6" s="203">
        <v>4</v>
      </c>
    </row>
    <row r="7" spans="1:6" s="122" customFormat="1" ht="19.5" customHeight="1">
      <c r="A7" s="209" t="s">
        <v>214</v>
      </c>
      <c r="B7" s="210" t="s">
        <v>230</v>
      </c>
      <c r="C7" s="123"/>
      <c r="D7" s="123"/>
      <c r="E7" s="192">
        <v>66245029</v>
      </c>
      <c r="F7" s="192">
        <v>83807258</v>
      </c>
    </row>
    <row r="8" spans="1:6" s="122" customFormat="1" ht="19.5" customHeight="1">
      <c r="A8" s="211" t="s">
        <v>218</v>
      </c>
      <c r="B8" s="212" t="s">
        <v>231</v>
      </c>
      <c r="C8" s="124"/>
      <c r="D8" s="124"/>
      <c r="E8" s="193">
        <v>65341530</v>
      </c>
      <c r="F8" s="193">
        <v>87224929</v>
      </c>
    </row>
    <row r="9" spans="1:6" s="122" customFormat="1" ht="19.5" customHeight="1" hidden="1">
      <c r="A9" s="213"/>
      <c r="B9" s="214"/>
      <c r="C9" s="124"/>
      <c r="D9" s="124"/>
      <c r="E9" s="193"/>
      <c r="F9" s="193"/>
    </row>
    <row r="10" spans="1:6" s="122" customFormat="1" ht="19.5" customHeight="1">
      <c r="A10" s="211"/>
      <c r="B10" s="212" t="s">
        <v>259</v>
      </c>
      <c r="C10" s="124"/>
      <c r="D10" s="124"/>
      <c r="E10" s="193">
        <f>E7-E8</f>
        <v>903499</v>
      </c>
      <c r="F10" s="193">
        <f>F7-F8</f>
        <v>-3417671</v>
      </c>
    </row>
    <row r="11" spans="1:6" s="122" customFormat="1" ht="0.75" customHeight="1" thickBot="1">
      <c r="A11" s="215"/>
      <c r="B11" s="210"/>
      <c r="C11" s="123"/>
      <c r="D11" s="123"/>
      <c r="E11" s="192"/>
      <c r="F11" s="192"/>
    </row>
    <row r="12" spans="1:6" s="122" customFormat="1" ht="19.5" customHeight="1" thickBot="1">
      <c r="A12" s="216"/>
      <c r="B12" s="217" t="s">
        <v>267</v>
      </c>
      <c r="C12" s="125"/>
      <c r="D12" s="125"/>
      <c r="E12" s="194">
        <f>E13-E23</f>
        <v>-903499</v>
      </c>
      <c r="F12" s="194">
        <f>F13-F23</f>
        <v>3417671</v>
      </c>
    </row>
    <row r="13" spans="1:6" s="122" customFormat="1" ht="19.5" customHeight="1" thickBot="1">
      <c r="A13" s="218" t="s">
        <v>219</v>
      </c>
      <c r="B13" s="219" t="s">
        <v>245</v>
      </c>
      <c r="C13" s="126"/>
      <c r="D13" s="126"/>
      <c r="E13" s="195">
        <f>SUM(E14:E22)</f>
        <v>7163813</v>
      </c>
      <c r="F13" s="195">
        <f>SUM(F14:F22)</f>
        <v>7585528</v>
      </c>
    </row>
    <row r="14" spans="1:6" s="122" customFormat="1" ht="19.5" customHeight="1">
      <c r="A14" s="220" t="s">
        <v>215</v>
      </c>
      <c r="B14" s="221" t="s">
        <v>164</v>
      </c>
      <c r="C14" s="127" t="s">
        <v>255</v>
      </c>
      <c r="D14" s="233" t="s">
        <v>255</v>
      </c>
      <c r="E14" s="196">
        <v>4749027</v>
      </c>
      <c r="F14" s="196">
        <f>-F10+F23-F22-F19</f>
        <v>2995816</v>
      </c>
    </row>
    <row r="15" spans="1:6" s="122" customFormat="1" ht="19.5" customHeight="1">
      <c r="A15" s="222" t="s">
        <v>216</v>
      </c>
      <c r="B15" s="223" t="s">
        <v>260</v>
      </c>
      <c r="C15" s="128" t="s">
        <v>255</v>
      </c>
      <c r="D15" s="234" t="s">
        <v>255</v>
      </c>
      <c r="E15" s="197">
        <v>0</v>
      </c>
      <c r="F15" s="197">
        <v>0</v>
      </c>
    </row>
    <row r="16" spans="1:6" s="122" customFormat="1" ht="31.5" customHeight="1">
      <c r="A16" s="211" t="s">
        <v>217</v>
      </c>
      <c r="B16" s="224" t="s">
        <v>165</v>
      </c>
      <c r="C16" s="129"/>
      <c r="D16" s="235" t="s">
        <v>166</v>
      </c>
      <c r="E16" s="197">
        <v>0</v>
      </c>
      <c r="F16" s="197">
        <v>0</v>
      </c>
    </row>
    <row r="17" spans="1:6" s="122" customFormat="1" ht="19.5" customHeight="1">
      <c r="A17" s="211" t="s">
        <v>206</v>
      </c>
      <c r="B17" s="225" t="s">
        <v>246</v>
      </c>
      <c r="C17" s="129" t="s">
        <v>256</v>
      </c>
      <c r="D17" s="235" t="s">
        <v>167</v>
      </c>
      <c r="E17" s="197">
        <v>0</v>
      </c>
      <c r="F17" s="197">
        <v>0</v>
      </c>
    </row>
    <row r="18" spans="1:6" s="122" customFormat="1" ht="19.5" customHeight="1">
      <c r="A18" s="211" t="s">
        <v>221</v>
      </c>
      <c r="B18" s="225" t="s">
        <v>247</v>
      </c>
      <c r="C18" s="129" t="s">
        <v>257</v>
      </c>
      <c r="D18" s="235" t="s">
        <v>168</v>
      </c>
      <c r="E18" s="197">
        <v>0</v>
      </c>
      <c r="F18" s="197">
        <v>0</v>
      </c>
    </row>
    <row r="19" spans="1:6" s="122" customFormat="1" ht="21.75" customHeight="1">
      <c r="A19" s="211" t="s">
        <v>225</v>
      </c>
      <c r="B19" s="225" t="s">
        <v>232</v>
      </c>
      <c r="C19" s="129" t="s">
        <v>258</v>
      </c>
      <c r="D19" s="235" t="s">
        <v>258</v>
      </c>
      <c r="E19" s="197">
        <v>0</v>
      </c>
      <c r="F19" s="197">
        <v>903499</v>
      </c>
    </row>
    <row r="20" spans="1:6" s="122" customFormat="1" ht="19.5" customHeight="1">
      <c r="A20" s="211" t="s">
        <v>235</v>
      </c>
      <c r="B20" s="225" t="s">
        <v>169</v>
      </c>
      <c r="C20" s="129"/>
      <c r="D20" s="235" t="s">
        <v>170</v>
      </c>
      <c r="E20" s="197">
        <v>0</v>
      </c>
      <c r="F20" s="197">
        <v>0</v>
      </c>
    </row>
    <row r="21" spans="1:6" s="122" customFormat="1" ht="19.5" customHeight="1">
      <c r="A21" s="226" t="s">
        <v>244</v>
      </c>
      <c r="B21" s="227" t="s">
        <v>171</v>
      </c>
      <c r="C21" s="127"/>
      <c r="D21" s="234" t="s">
        <v>172</v>
      </c>
      <c r="E21" s="197">
        <v>0</v>
      </c>
      <c r="F21" s="197">
        <v>0</v>
      </c>
    </row>
    <row r="22" spans="1:6" s="122" customFormat="1" ht="19.5" customHeight="1" thickBot="1">
      <c r="A22" s="226" t="s">
        <v>300</v>
      </c>
      <c r="B22" s="227" t="s">
        <v>173</v>
      </c>
      <c r="C22" s="130" t="s">
        <v>256</v>
      </c>
      <c r="D22" s="234" t="s">
        <v>256</v>
      </c>
      <c r="E22" s="198">
        <v>2414786</v>
      </c>
      <c r="F22" s="198">
        <v>3686213</v>
      </c>
    </row>
    <row r="23" spans="1:6" s="122" customFormat="1" ht="19.5" customHeight="1" thickBot="1">
      <c r="A23" s="218" t="s">
        <v>238</v>
      </c>
      <c r="B23" s="228" t="s">
        <v>248</v>
      </c>
      <c r="C23" s="131"/>
      <c r="D23" s="218"/>
      <c r="E23" s="195">
        <f>SUM(E24:E31)</f>
        <v>8067312</v>
      </c>
      <c r="F23" s="195">
        <f>SUM(F24:F31)</f>
        <v>4167857</v>
      </c>
    </row>
    <row r="24" spans="1:6" s="122" customFormat="1" ht="19.5" customHeight="1">
      <c r="A24" s="220" t="s">
        <v>215</v>
      </c>
      <c r="B24" s="229" t="s">
        <v>234</v>
      </c>
      <c r="C24" s="132" t="s">
        <v>250</v>
      </c>
      <c r="D24" s="236" t="s">
        <v>250</v>
      </c>
      <c r="E24" s="199">
        <f>1781600-304000</f>
        <v>1477600</v>
      </c>
      <c r="F24" s="199">
        <f>4100000+67860-3</f>
        <v>4167857</v>
      </c>
    </row>
    <row r="25" spans="1:6" s="122" customFormat="1" ht="19.5" customHeight="1">
      <c r="A25" s="211" t="s">
        <v>216</v>
      </c>
      <c r="B25" s="212" t="s">
        <v>254</v>
      </c>
      <c r="C25" s="133"/>
      <c r="D25" s="235" t="s">
        <v>250</v>
      </c>
      <c r="E25" s="200"/>
      <c r="F25" s="200"/>
    </row>
    <row r="26" spans="1:6" s="122" customFormat="1" ht="45">
      <c r="A26" s="211" t="s">
        <v>217</v>
      </c>
      <c r="B26" s="230" t="s">
        <v>174</v>
      </c>
      <c r="C26" s="133"/>
      <c r="D26" s="235" t="s">
        <v>175</v>
      </c>
      <c r="E26" s="200"/>
      <c r="F26" s="200"/>
    </row>
    <row r="27" spans="1:6" s="122" customFormat="1" ht="19.5" customHeight="1">
      <c r="A27" s="211" t="s">
        <v>206</v>
      </c>
      <c r="B27" s="212" t="s">
        <v>176</v>
      </c>
      <c r="C27" s="133" t="s">
        <v>272</v>
      </c>
      <c r="D27" s="235" t="s">
        <v>272</v>
      </c>
      <c r="E27" s="200">
        <v>0</v>
      </c>
      <c r="F27" s="200">
        <v>0</v>
      </c>
    </row>
    <row r="28" spans="1:6" s="122" customFormat="1" ht="19.5" customHeight="1">
      <c r="A28" s="211" t="s">
        <v>221</v>
      </c>
      <c r="B28" s="212" t="s">
        <v>177</v>
      </c>
      <c r="C28" s="133" t="s">
        <v>252</v>
      </c>
      <c r="D28" s="235" t="s">
        <v>252</v>
      </c>
      <c r="E28" s="200">
        <v>4589712</v>
      </c>
      <c r="F28" s="200">
        <v>0</v>
      </c>
    </row>
    <row r="29" spans="1:6" s="122" customFormat="1" ht="17.25" customHeight="1">
      <c r="A29" s="211" t="s">
        <v>225</v>
      </c>
      <c r="B29" s="212" t="s">
        <v>233</v>
      </c>
      <c r="C29" s="133" t="s">
        <v>253</v>
      </c>
      <c r="D29" s="235" t="s">
        <v>253</v>
      </c>
      <c r="E29" s="200">
        <v>2000000</v>
      </c>
      <c r="F29" s="200">
        <v>0</v>
      </c>
    </row>
    <row r="30" spans="1:6" s="122" customFormat="1" ht="17.25" customHeight="1">
      <c r="A30" s="211" t="s">
        <v>235</v>
      </c>
      <c r="B30" s="212" t="s">
        <v>197</v>
      </c>
      <c r="C30" s="133"/>
      <c r="D30" s="235" t="s">
        <v>178</v>
      </c>
      <c r="E30" s="200"/>
      <c r="F30" s="200"/>
    </row>
    <row r="31" spans="1:6" s="122" customFormat="1" ht="17.25" customHeight="1" thickBot="1">
      <c r="A31" s="231" t="s">
        <v>244</v>
      </c>
      <c r="B31" s="232" t="s">
        <v>249</v>
      </c>
      <c r="C31" s="133" t="s">
        <v>251</v>
      </c>
      <c r="D31" s="237" t="s">
        <v>251</v>
      </c>
      <c r="E31" s="201">
        <v>0</v>
      </c>
      <c r="F31" s="201">
        <v>0</v>
      </c>
    </row>
    <row r="32" spans="1:6" ht="19.5" customHeight="1">
      <c r="A32" s="4"/>
      <c r="B32" s="5"/>
      <c r="C32" s="5"/>
      <c r="D32" s="5"/>
      <c r="E32" s="36"/>
      <c r="F32" s="36"/>
    </row>
    <row r="33" spans="1:6" ht="30" hidden="1">
      <c r="A33" s="16" t="s">
        <v>261</v>
      </c>
      <c r="B33" s="19" t="s">
        <v>273</v>
      </c>
      <c r="C33" s="17"/>
      <c r="D33" s="17"/>
      <c r="E33" s="39">
        <f>E23</f>
        <v>8067312</v>
      </c>
      <c r="F33" s="42">
        <f>F23</f>
        <v>4167857</v>
      </c>
    </row>
    <row r="34" spans="1:6" ht="30" hidden="1">
      <c r="A34" s="9" t="s">
        <v>262</v>
      </c>
      <c r="B34" s="18" t="s">
        <v>268</v>
      </c>
      <c r="C34" s="13"/>
      <c r="D34" s="13"/>
      <c r="E34" s="40">
        <f>E7-E33</f>
        <v>58177717</v>
      </c>
      <c r="F34" s="43">
        <f>F7-F33</f>
        <v>79639401</v>
      </c>
    </row>
    <row r="35" spans="1:6" ht="30" hidden="1">
      <c r="A35" s="9" t="s">
        <v>263</v>
      </c>
      <c r="B35" s="18" t="s">
        <v>264</v>
      </c>
      <c r="C35" s="13"/>
      <c r="D35" s="13"/>
      <c r="E35" s="40">
        <f>E8-E34</f>
        <v>7163813</v>
      </c>
      <c r="F35" s="43">
        <f>F8-F34</f>
        <v>7585528</v>
      </c>
    </row>
    <row r="36" spans="1:6" ht="45.75" hidden="1" thickBot="1">
      <c r="A36" s="10" t="s">
        <v>265</v>
      </c>
      <c r="B36" s="14" t="s">
        <v>266</v>
      </c>
      <c r="C36" s="15"/>
      <c r="D36" s="15"/>
      <c r="E36" s="41">
        <f>SUM(E13)</f>
        <v>7163813</v>
      </c>
      <c r="F36" s="44">
        <f>SUM(F13)</f>
        <v>7585528</v>
      </c>
    </row>
    <row r="37" spans="1:6" ht="12.75">
      <c r="A37" s="3"/>
      <c r="E37" s="37"/>
      <c r="F37" s="37"/>
    </row>
    <row r="38" spans="1:6" ht="12.75">
      <c r="A38" s="3"/>
      <c r="E38" s="37"/>
      <c r="F38" s="37"/>
    </row>
    <row r="39" spans="5:6" s="12" customFormat="1" ht="15">
      <c r="E39" s="38"/>
      <c r="F39" s="38"/>
    </row>
    <row r="40" spans="1:6" ht="12.75">
      <c r="A40" s="3"/>
      <c r="E40" s="37"/>
      <c r="F40" s="37"/>
    </row>
    <row r="41" spans="1:6" ht="12.75">
      <c r="A41" s="3"/>
      <c r="E41" s="37"/>
      <c r="F41" s="37"/>
    </row>
    <row r="42" spans="1:6" ht="12.75">
      <c r="A42" s="3"/>
      <c r="E42" s="37"/>
      <c r="F42" s="37"/>
    </row>
    <row r="43" spans="1:6" ht="12.75">
      <c r="A43" s="3"/>
      <c r="E43" s="37"/>
      <c r="F43" s="37"/>
    </row>
    <row r="44" spans="1:6" ht="12.75">
      <c r="A44" s="3"/>
      <c r="E44" s="37"/>
      <c r="F44" s="37"/>
    </row>
    <row r="45" spans="1:6" ht="12.75">
      <c r="A45" s="3"/>
      <c r="E45" s="37"/>
      <c r="F45" s="37"/>
    </row>
    <row r="46" spans="1:6" ht="12.75">
      <c r="A46" s="3"/>
      <c r="E46" s="37"/>
      <c r="F46" s="37"/>
    </row>
    <row r="47" spans="1:6" ht="12.75">
      <c r="A47" s="3"/>
      <c r="E47" s="37"/>
      <c r="F47" s="37"/>
    </row>
    <row r="48" spans="5:6" ht="12.75">
      <c r="E48" s="37"/>
      <c r="F48" s="37"/>
    </row>
    <row r="49" spans="5:6" ht="12.75">
      <c r="E49" s="37"/>
      <c r="F49" s="37"/>
    </row>
    <row r="50" spans="5:6" ht="12.75">
      <c r="E50" s="37"/>
      <c r="F50" s="37"/>
    </row>
    <row r="51" spans="5:6" ht="12.75">
      <c r="E51" s="37"/>
      <c r="F51" s="37"/>
    </row>
    <row r="52" spans="5:6" ht="12.75">
      <c r="E52" s="37"/>
      <c r="F52" s="37"/>
    </row>
    <row r="53" spans="5:6" ht="12.75">
      <c r="E53" s="37"/>
      <c r="F53" s="37"/>
    </row>
    <row r="54" spans="5:6" ht="12.75">
      <c r="E54" s="37"/>
      <c r="F54" s="37"/>
    </row>
    <row r="55" spans="5:6" ht="12.75">
      <c r="E55" s="37"/>
      <c r="F55" s="37"/>
    </row>
    <row r="56" spans="5:6" ht="12.75">
      <c r="E56" s="37"/>
      <c r="F56" s="37"/>
    </row>
    <row r="57" spans="5:6" ht="12.75">
      <c r="E57" s="37"/>
      <c r="F57" s="37"/>
    </row>
    <row r="58" spans="5:6" ht="12.75">
      <c r="E58" s="37"/>
      <c r="F58" s="37"/>
    </row>
    <row r="59" spans="5:6" ht="12.75">
      <c r="E59" s="37"/>
      <c r="F59" s="37"/>
    </row>
    <row r="60" spans="5:6" ht="12.75">
      <c r="E60" s="37"/>
      <c r="F60" s="37"/>
    </row>
    <row r="61" spans="5:6" ht="12.75">
      <c r="E61" s="37"/>
      <c r="F61" s="37"/>
    </row>
    <row r="62" spans="5:6" ht="12.75">
      <c r="E62" s="37"/>
      <c r="F62" s="37"/>
    </row>
    <row r="63" spans="5:6" ht="12.75">
      <c r="E63" s="37"/>
      <c r="F63" s="37"/>
    </row>
    <row r="64" spans="5:6" ht="12.75">
      <c r="E64" s="37"/>
      <c r="F64" s="37"/>
    </row>
    <row r="65" spans="5:6" ht="12.75">
      <c r="E65" s="37"/>
      <c r="F65" s="37"/>
    </row>
    <row r="66" spans="5:6" ht="12.75">
      <c r="E66" s="37"/>
      <c r="F66" s="37"/>
    </row>
    <row r="67" spans="5:6" ht="12.75">
      <c r="E67" s="37"/>
      <c r="F67" s="37"/>
    </row>
    <row r="68" spans="5:6" ht="12.75">
      <c r="E68" s="37"/>
      <c r="F68" s="37"/>
    </row>
    <row r="69" spans="5:6" ht="12.75">
      <c r="E69" s="37"/>
      <c r="F69" s="37"/>
    </row>
    <row r="70" spans="5:6" ht="12.75">
      <c r="E70" s="37"/>
      <c r="F70" s="37"/>
    </row>
    <row r="71" spans="5:6" ht="12.75">
      <c r="E71" s="37"/>
      <c r="F71" s="37"/>
    </row>
    <row r="72" spans="5:6" ht="12.75">
      <c r="E72" s="37"/>
      <c r="F72" s="37"/>
    </row>
    <row r="73" spans="5:6" ht="12.75">
      <c r="E73" s="37"/>
      <c r="F73" s="37"/>
    </row>
    <row r="74" spans="5:6" ht="12.75">
      <c r="E74" s="37"/>
      <c r="F74" s="37"/>
    </row>
    <row r="75" spans="5:6" ht="12.75">
      <c r="E75" s="37"/>
      <c r="F75" s="37"/>
    </row>
    <row r="76" spans="5:6" ht="12.75">
      <c r="E76" s="37"/>
      <c r="F76" s="37"/>
    </row>
    <row r="77" spans="5:6" ht="12.75">
      <c r="E77" s="37"/>
      <c r="F77" s="37"/>
    </row>
    <row r="78" spans="5:6" ht="12.75">
      <c r="E78" s="37"/>
      <c r="F78" s="37"/>
    </row>
    <row r="79" spans="5:6" ht="12.75">
      <c r="E79" s="37"/>
      <c r="F79" s="37"/>
    </row>
    <row r="80" spans="5:6" ht="12.75">
      <c r="E80" s="37"/>
      <c r="F80" s="37"/>
    </row>
    <row r="81" spans="5:6" ht="12.75">
      <c r="E81" s="37"/>
      <c r="F81" s="37"/>
    </row>
    <row r="82" spans="5:6" ht="12.75">
      <c r="E82" s="37"/>
      <c r="F82" s="37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XXVI/        /09
z dnia 26 marca 2009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C1">
      <selection activeCell="J9" sqref="J9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61" customFormat="1" ht="15.75">
      <c r="B1" s="62"/>
      <c r="C1" s="63"/>
      <c r="D1" s="64"/>
      <c r="E1" s="73"/>
      <c r="F1" s="73"/>
      <c r="G1" s="48" t="s">
        <v>339</v>
      </c>
      <c r="I1" s="64"/>
      <c r="J1" s="73"/>
      <c r="K1" s="73"/>
      <c r="L1" s="73"/>
      <c r="M1" s="48" t="s">
        <v>339</v>
      </c>
    </row>
    <row r="2" spans="2:13" s="61" customFormat="1" ht="15">
      <c r="B2" s="65"/>
      <c r="C2" s="66"/>
      <c r="D2" s="67"/>
      <c r="E2" s="74"/>
      <c r="F2" s="74"/>
      <c r="G2" s="630" t="s">
        <v>582</v>
      </c>
      <c r="I2" s="67"/>
      <c r="J2" s="53"/>
      <c r="K2" s="53"/>
      <c r="L2" s="53"/>
      <c r="M2" s="630" t="s">
        <v>582</v>
      </c>
    </row>
    <row r="3" spans="2:13" s="61" customFormat="1" ht="15">
      <c r="B3" s="65"/>
      <c r="C3" s="68"/>
      <c r="D3" s="67"/>
      <c r="E3" s="74"/>
      <c r="F3" s="74"/>
      <c r="G3" s="630" t="s">
        <v>77</v>
      </c>
      <c r="I3" s="67"/>
      <c r="J3" s="53"/>
      <c r="K3" s="53"/>
      <c r="L3" s="53"/>
      <c r="M3" s="630" t="s">
        <v>77</v>
      </c>
    </row>
    <row r="4" s="69" customFormat="1" ht="12.75">
      <c r="D4" s="68"/>
    </row>
    <row r="5" ht="12.75">
      <c r="D5" s="70"/>
    </row>
    <row r="6" ht="12.75">
      <c r="D6" s="70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56"/>
      <c r="E10" s="56"/>
      <c r="F10" s="60"/>
      <c r="G10" s="1" t="s">
        <v>271</v>
      </c>
      <c r="L10" s="1" t="s">
        <v>271</v>
      </c>
    </row>
    <row r="11" spans="1:13" s="147" customFormat="1" ht="35.25" customHeight="1">
      <c r="A11" s="820" t="s">
        <v>274</v>
      </c>
      <c r="B11" s="820" t="s">
        <v>368</v>
      </c>
      <c r="C11" s="820" t="s">
        <v>534</v>
      </c>
      <c r="D11" s="845" t="s">
        <v>369</v>
      </c>
      <c r="E11" s="846"/>
      <c r="F11" s="846"/>
      <c r="G11" s="847"/>
      <c r="H11" s="845" t="s">
        <v>369</v>
      </c>
      <c r="I11" s="846"/>
      <c r="J11" s="846"/>
      <c r="K11" s="846"/>
      <c r="L11" s="846"/>
      <c r="M11" s="847"/>
    </row>
    <row r="12" spans="1:13" s="147" customFormat="1" ht="35.25" customHeight="1">
      <c r="A12" s="820"/>
      <c r="B12" s="820"/>
      <c r="C12" s="820"/>
      <c r="D12" s="382">
        <v>2009</v>
      </c>
      <c r="E12" s="383">
        <v>2010</v>
      </c>
      <c r="F12" s="382">
        <v>2011</v>
      </c>
      <c r="G12" s="382">
        <v>2012</v>
      </c>
      <c r="H12" s="382">
        <v>2013</v>
      </c>
      <c r="I12" s="382">
        <v>2014</v>
      </c>
      <c r="J12" s="382">
        <v>2015</v>
      </c>
      <c r="K12" s="382">
        <v>2016</v>
      </c>
      <c r="L12" s="382">
        <v>2017</v>
      </c>
      <c r="M12" s="517">
        <v>2017</v>
      </c>
    </row>
    <row r="13" spans="1:13" s="147" customFormat="1" ht="11.25" customHeight="1">
      <c r="A13" s="157">
        <v>1</v>
      </c>
      <c r="B13" s="157">
        <v>2</v>
      </c>
      <c r="C13" s="157">
        <v>3</v>
      </c>
      <c r="D13" s="157">
        <v>4</v>
      </c>
      <c r="E13" s="157">
        <v>5</v>
      </c>
      <c r="F13" s="157">
        <v>6</v>
      </c>
      <c r="G13" s="384">
        <v>7</v>
      </c>
      <c r="H13" s="157">
        <v>3</v>
      </c>
      <c r="I13" s="157">
        <v>4</v>
      </c>
      <c r="J13" s="157">
        <v>5</v>
      </c>
      <c r="K13" s="157">
        <v>6</v>
      </c>
      <c r="L13" s="157">
        <v>7</v>
      </c>
      <c r="M13" s="518">
        <v>8</v>
      </c>
    </row>
    <row r="14" spans="1:13" s="121" customFormat="1" ht="28.5" customHeight="1">
      <c r="A14" s="385" t="s">
        <v>215</v>
      </c>
      <c r="B14" s="34" t="s">
        <v>220</v>
      </c>
      <c r="C14" s="390">
        <f>SUM('zał11-syt finans'!C45)</f>
        <v>0</v>
      </c>
      <c r="D14" s="390">
        <f>SUM('zał11-syt finans'!D45)</f>
        <v>0</v>
      </c>
      <c r="E14" s="390">
        <f>SUM('zał11-syt finans'!E45)</f>
        <v>0</v>
      </c>
      <c r="F14" s="390">
        <f>SUM('zał11-syt finans'!F45)</f>
        <v>0</v>
      </c>
      <c r="G14" s="390">
        <f>SUM('zał11-syt finans'!G45)</f>
        <v>0</v>
      </c>
      <c r="H14" s="390">
        <f>SUM('zał11-syt finans'!H45)</f>
        <v>0</v>
      </c>
      <c r="I14" s="390">
        <f>SUM('zał11-syt finans'!I45)</f>
        <v>0</v>
      </c>
      <c r="J14" s="390">
        <f>SUM('zał11-syt finans'!J45)</f>
        <v>0</v>
      </c>
      <c r="K14" s="390">
        <f>SUM('zał11-syt finans'!K45)</f>
        <v>0</v>
      </c>
      <c r="L14" s="390">
        <f>SUM('zał11-syt finans'!L45)</f>
        <v>0</v>
      </c>
      <c r="M14" s="519">
        <f>SUM('zał11-syt finans'!M45)</f>
        <v>0</v>
      </c>
    </row>
    <row r="15" spans="1:13" s="121" customFormat="1" ht="24.75" customHeight="1">
      <c r="A15" s="385" t="s">
        <v>216</v>
      </c>
      <c r="B15" s="34" t="s">
        <v>222</v>
      </c>
      <c r="C15" s="390">
        <f>SUM('zał11-syt finans'!C44)</f>
        <v>24701398</v>
      </c>
      <c r="D15" s="390">
        <f>SUM('zał11-syt finans'!D44)</f>
        <v>23529357</v>
      </c>
      <c r="E15" s="390">
        <f>SUM('zał11-syt finans'!E44)</f>
        <v>24511533</v>
      </c>
      <c r="F15" s="390">
        <f>SUM('zał11-syt finans'!F44)</f>
        <v>23520733</v>
      </c>
      <c r="G15" s="390">
        <f>SUM('zał11-syt finans'!G44)</f>
        <v>19415564</v>
      </c>
      <c r="H15" s="390">
        <f>SUM('zał11-syt finans'!H44)</f>
        <v>12836564</v>
      </c>
      <c r="I15" s="390">
        <f>SUM('zał11-syt finans'!I44)</f>
        <v>8111564</v>
      </c>
      <c r="J15" s="390">
        <f>SUM('zał11-syt finans'!J44)</f>
        <v>3458964</v>
      </c>
      <c r="K15" s="390">
        <f>SUM('zał11-syt finans'!K44)</f>
        <v>683964</v>
      </c>
      <c r="L15" s="390">
        <f>SUM('zał11-syt finans'!L44)</f>
        <v>0</v>
      </c>
      <c r="M15" s="519">
        <f>SUM('zał11-syt finans'!M44)</f>
        <v>0</v>
      </c>
    </row>
    <row r="16" spans="1:13" s="121" customFormat="1" ht="24.75" customHeight="1">
      <c r="A16" s="385" t="s">
        <v>217</v>
      </c>
      <c r="B16" s="34" t="s">
        <v>223</v>
      </c>
      <c r="C16" s="391" t="s">
        <v>289</v>
      </c>
      <c r="D16" s="391" t="s">
        <v>289</v>
      </c>
      <c r="E16" s="391" t="s">
        <v>289</v>
      </c>
      <c r="F16" s="391" t="s">
        <v>289</v>
      </c>
      <c r="G16" s="395" t="s">
        <v>289</v>
      </c>
      <c r="H16" s="391" t="s">
        <v>289</v>
      </c>
      <c r="I16" s="391" t="s">
        <v>289</v>
      </c>
      <c r="J16" s="391" t="s">
        <v>289</v>
      </c>
      <c r="K16" s="391" t="s">
        <v>289</v>
      </c>
      <c r="L16" s="391" t="s">
        <v>289</v>
      </c>
      <c r="M16" s="520" t="s">
        <v>289</v>
      </c>
    </row>
    <row r="17" spans="1:13" s="121" customFormat="1" ht="24.75" customHeight="1">
      <c r="A17" s="386" t="s">
        <v>206</v>
      </c>
      <c r="B17" s="387" t="s">
        <v>224</v>
      </c>
      <c r="C17" s="391" t="s">
        <v>289</v>
      </c>
      <c r="D17" s="391" t="s">
        <v>289</v>
      </c>
      <c r="E17" s="391" t="s">
        <v>289</v>
      </c>
      <c r="F17" s="391" t="s">
        <v>289</v>
      </c>
      <c r="G17" s="395" t="s">
        <v>289</v>
      </c>
      <c r="H17" s="391" t="s">
        <v>289</v>
      </c>
      <c r="I17" s="391" t="s">
        <v>289</v>
      </c>
      <c r="J17" s="391" t="s">
        <v>289</v>
      </c>
      <c r="K17" s="391" t="s">
        <v>289</v>
      </c>
      <c r="L17" s="391" t="s">
        <v>289</v>
      </c>
      <c r="M17" s="520" t="s">
        <v>289</v>
      </c>
    </row>
    <row r="18" spans="1:13" s="121" customFormat="1" ht="42.75" customHeight="1">
      <c r="A18" s="386" t="s">
        <v>221</v>
      </c>
      <c r="B18" s="34" t="s">
        <v>370</v>
      </c>
      <c r="C18" s="391" t="s">
        <v>289</v>
      </c>
      <c r="D18" s="391" t="s">
        <v>289</v>
      </c>
      <c r="E18" s="391" t="s">
        <v>289</v>
      </c>
      <c r="F18" s="391" t="s">
        <v>289</v>
      </c>
      <c r="G18" s="395" t="s">
        <v>289</v>
      </c>
      <c r="H18" s="391" t="s">
        <v>289</v>
      </c>
      <c r="I18" s="391" t="s">
        <v>289</v>
      </c>
      <c r="J18" s="391" t="s">
        <v>289</v>
      </c>
      <c r="K18" s="391" t="s">
        <v>289</v>
      </c>
      <c r="L18" s="397" t="s">
        <v>289</v>
      </c>
      <c r="M18" s="521" t="s">
        <v>289</v>
      </c>
    </row>
    <row r="19" spans="1:13" s="121" customFormat="1" ht="24.75" customHeight="1">
      <c r="A19" s="388"/>
      <c r="B19" s="34" t="s">
        <v>371</v>
      </c>
      <c r="C19" s="391" t="s">
        <v>289</v>
      </c>
      <c r="D19" s="391" t="s">
        <v>289</v>
      </c>
      <c r="E19" s="391" t="s">
        <v>289</v>
      </c>
      <c r="F19" s="391" t="s">
        <v>289</v>
      </c>
      <c r="G19" s="391" t="s">
        <v>289</v>
      </c>
      <c r="H19" s="391" t="s">
        <v>289</v>
      </c>
      <c r="I19" s="391" t="s">
        <v>289</v>
      </c>
      <c r="J19" s="391" t="s">
        <v>289</v>
      </c>
      <c r="K19" s="391" t="s">
        <v>289</v>
      </c>
      <c r="L19" s="391" t="s">
        <v>289</v>
      </c>
      <c r="M19" s="520" t="s">
        <v>289</v>
      </c>
    </row>
    <row r="20" spans="1:13" s="121" customFormat="1" ht="24.75" customHeight="1">
      <c r="A20" s="388"/>
      <c r="B20" s="34" t="s">
        <v>372</v>
      </c>
      <c r="C20" s="391" t="s">
        <v>289</v>
      </c>
      <c r="D20" s="391" t="s">
        <v>289</v>
      </c>
      <c r="E20" s="391" t="s">
        <v>289</v>
      </c>
      <c r="F20" s="391" t="s">
        <v>289</v>
      </c>
      <c r="G20" s="391" t="s">
        <v>289</v>
      </c>
      <c r="H20" s="391" t="s">
        <v>289</v>
      </c>
      <c r="I20" s="391" t="s">
        <v>289</v>
      </c>
      <c r="J20" s="391" t="s">
        <v>289</v>
      </c>
      <c r="K20" s="391" t="s">
        <v>289</v>
      </c>
      <c r="L20" s="391" t="s">
        <v>289</v>
      </c>
      <c r="M20" s="520" t="s">
        <v>289</v>
      </c>
    </row>
    <row r="21" spans="1:13" s="121" customFormat="1" ht="24.75" customHeight="1">
      <c r="A21" s="388"/>
      <c r="B21" s="34" t="s">
        <v>373</v>
      </c>
      <c r="C21" s="391" t="s">
        <v>289</v>
      </c>
      <c r="D21" s="391" t="s">
        <v>289</v>
      </c>
      <c r="E21" s="391" t="s">
        <v>289</v>
      </c>
      <c r="F21" s="391" t="s">
        <v>289</v>
      </c>
      <c r="G21" s="391" t="s">
        <v>289</v>
      </c>
      <c r="H21" s="391" t="s">
        <v>289</v>
      </c>
      <c r="I21" s="391" t="s">
        <v>289</v>
      </c>
      <c r="J21" s="391" t="s">
        <v>289</v>
      </c>
      <c r="K21" s="391" t="s">
        <v>289</v>
      </c>
      <c r="L21" s="397" t="s">
        <v>289</v>
      </c>
      <c r="M21" s="521" t="s">
        <v>289</v>
      </c>
    </row>
    <row r="22" spans="1:13" s="121" customFormat="1" ht="24.75" customHeight="1">
      <c r="A22" s="389"/>
      <c r="B22" s="34" t="s">
        <v>374</v>
      </c>
      <c r="C22" s="391" t="s">
        <v>289</v>
      </c>
      <c r="D22" s="391" t="s">
        <v>289</v>
      </c>
      <c r="E22" s="391" t="s">
        <v>289</v>
      </c>
      <c r="F22" s="391" t="s">
        <v>289</v>
      </c>
      <c r="G22" s="395" t="s">
        <v>289</v>
      </c>
      <c r="H22" s="391" t="s">
        <v>289</v>
      </c>
      <c r="I22" s="391" t="s">
        <v>289</v>
      </c>
      <c r="J22" s="391" t="s">
        <v>289</v>
      </c>
      <c r="K22" s="391" t="s">
        <v>289</v>
      </c>
      <c r="L22" s="391" t="s">
        <v>289</v>
      </c>
      <c r="M22" s="520" t="s">
        <v>289</v>
      </c>
    </row>
    <row r="23" spans="1:13" s="148" customFormat="1" ht="30" customHeight="1">
      <c r="A23" s="389" t="s">
        <v>225</v>
      </c>
      <c r="B23" s="71" t="s">
        <v>375</v>
      </c>
      <c r="C23" s="392">
        <f>SUM(C14,C15)</f>
        <v>24701398</v>
      </c>
      <c r="D23" s="392">
        <f>SUM(D14,D15,D18)</f>
        <v>23529357</v>
      </c>
      <c r="E23" s="392">
        <f aca="true" t="shared" si="0" ref="E23:M23">SUM(E14,E15,E18)</f>
        <v>24511533</v>
      </c>
      <c r="F23" s="392">
        <f t="shared" si="0"/>
        <v>23520733</v>
      </c>
      <c r="G23" s="392">
        <f t="shared" si="0"/>
        <v>19415564</v>
      </c>
      <c r="H23" s="392">
        <f t="shared" si="0"/>
        <v>12836564</v>
      </c>
      <c r="I23" s="392">
        <f t="shared" si="0"/>
        <v>8111564</v>
      </c>
      <c r="J23" s="392">
        <f t="shared" si="0"/>
        <v>3458964</v>
      </c>
      <c r="K23" s="392">
        <f t="shared" si="0"/>
        <v>683964</v>
      </c>
      <c r="L23" s="392">
        <f t="shared" si="0"/>
        <v>0</v>
      </c>
      <c r="M23" s="522">
        <f t="shared" si="0"/>
        <v>0</v>
      </c>
    </row>
    <row r="24" spans="1:13" s="148" customFormat="1" ht="27" customHeight="1">
      <c r="A24" s="389" t="s">
        <v>235</v>
      </c>
      <c r="B24" s="34" t="s">
        <v>236</v>
      </c>
      <c r="C24" s="393">
        <f>SUM('zał11-syt finans'!C11)</f>
        <v>66245029</v>
      </c>
      <c r="D24" s="393">
        <f>SUM('zał11-syt finans'!D11)</f>
        <v>83807258</v>
      </c>
      <c r="E24" s="393">
        <f>SUM('zał11-syt finans'!E11)</f>
        <v>85448872</v>
      </c>
      <c r="F24" s="393">
        <f>SUM('zał11-syt finans'!F11)</f>
        <v>83506389</v>
      </c>
      <c r="G24" s="393">
        <f>SUM('zał11-syt finans'!G11)</f>
        <v>75743751</v>
      </c>
      <c r="H24" s="393">
        <f>SUM('zał11-syt finans'!H11)</f>
        <v>78067819</v>
      </c>
      <c r="I24" s="393">
        <f>SUM('zał11-syt finans'!I11)</f>
        <v>80553485</v>
      </c>
      <c r="J24" s="393">
        <f>SUM('zał11-syt finans'!J11)</f>
        <v>83002535</v>
      </c>
      <c r="K24" s="393">
        <f>SUM('zał11-syt finans'!K11)</f>
        <v>85616807</v>
      </c>
      <c r="L24" s="393">
        <f>SUM('zał11-syt finans'!L11)</f>
        <v>88298194</v>
      </c>
      <c r="M24" s="523">
        <f>SUM('zał11-syt finans'!M11)</f>
        <v>90858840</v>
      </c>
    </row>
    <row r="25" spans="1:13" s="148" customFormat="1" ht="30" customHeight="1">
      <c r="A25" s="389" t="s">
        <v>244</v>
      </c>
      <c r="B25" s="34" t="s">
        <v>376</v>
      </c>
      <c r="C25" s="394">
        <f aca="true" t="shared" si="1" ref="C25:M25">C23/C24*100</f>
        <v>37.28792691750501</v>
      </c>
      <c r="D25" s="394">
        <f t="shared" si="1"/>
        <v>28.075559995054366</v>
      </c>
      <c r="E25" s="394">
        <f t="shared" si="1"/>
        <v>28.685613310378166</v>
      </c>
      <c r="F25" s="394">
        <f t="shared" si="1"/>
        <v>28.166387364684155</v>
      </c>
      <c r="G25" s="396">
        <f t="shared" si="1"/>
        <v>25.633222204693823</v>
      </c>
      <c r="H25" s="394">
        <f t="shared" si="1"/>
        <v>16.442836708426555</v>
      </c>
      <c r="I25" s="394">
        <f t="shared" si="1"/>
        <v>10.069786552375728</v>
      </c>
      <c r="J25" s="394">
        <f t="shared" si="1"/>
        <v>4.167299227668167</v>
      </c>
      <c r="K25" s="394">
        <f t="shared" si="1"/>
        <v>0.7988665122725261</v>
      </c>
      <c r="L25" s="394">
        <f t="shared" si="1"/>
        <v>0</v>
      </c>
      <c r="M25" s="524">
        <f t="shared" si="1"/>
        <v>0</v>
      </c>
    </row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6"/>
  <dimension ref="A1:Y75"/>
  <sheetViews>
    <sheetView workbookViewId="0" topLeftCell="A1">
      <selection activeCell="Q12" sqref="Q12"/>
    </sheetView>
  </sheetViews>
  <sheetFormatPr defaultColWidth="9.00390625" defaultRowHeight="12.75"/>
  <cols>
    <col min="1" max="1" width="4.375" style="46" customWidth="1"/>
    <col min="2" max="2" width="40.875" style="46" customWidth="1"/>
    <col min="3" max="3" width="13.25390625" style="46" customWidth="1"/>
    <col min="4" max="6" width="13.125" style="109" customWidth="1"/>
    <col min="7" max="7" width="15.125" style="109" customWidth="1"/>
    <col min="8" max="8" width="13.00390625" style="109" customWidth="1"/>
    <col min="9" max="9" width="14.625" style="109" customWidth="1"/>
    <col min="10" max="12" width="13.125" style="109" customWidth="1"/>
    <col min="13" max="13" width="14.625" style="109" customWidth="1"/>
    <col min="14" max="14" width="13.00390625" style="109" customWidth="1"/>
    <col min="15" max="16384" width="9.125" style="46" customWidth="1"/>
  </cols>
  <sheetData>
    <row r="1" spans="4:25" ht="14.25">
      <c r="D1" s="73"/>
      <c r="E1" s="73"/>
      <c r="F1" s="48" t="s">
        <v>435</v>
      </c>
      <c r="H1" s="73"/>
      <c r="I1" s="73"/>
      <c r="J1" s="48" t="s">
        <v>435</v>
      </c>
      <c r="K1" s="110"/>
      <c r="L1" s="110"/>
      <c r="M1" s="110"/>
      <c r="N1" s="48" t="s">
        <v>435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4:25" ht="14.25">
      <c r="D2" s="74"/>
      <c r="E2" s="74"/>
      <c r="F2" s="630" t="s">
        <v>582</v>
      </c>
      <c r="H2" s="74"/>
      <c r="I2" s="74"/>
      <c r="J2" s="630" t="s">
        <v>582</v>
      </c>
      <c r="K2" s="111"/>
      <c r="L2" s="111"/>
      <c r="M2" s="111"/>
      <c r="N2" s="630" t="s">
        <v>582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4:25" ht="14.25">
      <c r="D3" s="74"/>
      <c r="E3" s="74"/>
      <c r="F3" s="630" t="s">
        <v>77</v>
      </c>
      <c r="H3" s="74"/>
      <c r="I3" s="74"/>
      <c r="J3" s="630" t="s">
        <v>77</v>
      </c>
      <c r="K3" s="111"/>
      <c r="L3" s="111"/>
      <c r="M3" s="111"/>
      <c r="N3" s="630" t="s">
        <v>77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4:12" ht="14.25">
      <c r="D4" s="67"/>
      <c r="E4" s="67"/>
      <c r="F4" s="67"/>
      <c r="H4" s="46"/>
      <c r="I4" s="46"/>
      <c r="J4" s="67"/>
      <c r="K4" s="112"/>
      <c r="L4" s="112"/>
    </row>
    <row r="5" spans="4:10" ht="12.75">
      <c r="D5" s="46"/>
      <c r="E5" s="28"/>
      <c r="F5" s="46"/>
      <c r="H5" s="46"/>
      <c r="I5" s="46"/>
      <c r="J5" s="46"/>
    </row>
    <row r="6" spans="6:14" ht="15" customHeight="1">
      <c r="F6" s="77" t="s">
        <v>181</v>
      </c>
      <c r="H6" s="46"/>
      <c r="I6" s="46"/>
      <c r="J6" s="77" t="s">
        <v>181</v>
      </c>
      <c r="N6" s="77" t="s">
        <v>181</v>
      </c>
    </row>
    <row r="7" spans="1:14" ht="12.75">
      <c r="A7" s="160" t="s">
        <v>274</v>
      </c>
      <c r="B7" s="160" t="s">
        <v>209</v>
      </c>
      <c r="C7" s="853" t="s">
        <v>2</v>
      </c>
      <c r="D7" s="326" t="s">
        <v>182</v>
      </c>
      <c r="E7" s="327"/>
      <c r="F7" s="328"/>
      <c r="G7" s="848" t="s">
        <v>183</v>
      </c>
      <c r="H7" s="849"/>
      <c r="I7" s="849"/>
      <c r="J7" s="850"/>
      <c r="K7" s="848" t="s">
        <v>183</v>
      </c>
      <c r="L7" s="849"/>
      <c r="M7" s="849"/>
      <c r="N7" s="850"/>
    </row>
    <row r="8" spans="1:14" ht="12.75">
      <c r="A8" s="376"/>
      <c r="B8" s="376"/>
      <c r="C8" s="854"/>
      <c r="D8" s="329">
        <v>2009</v>
      </c>
      <c r="E8" s="330">
        <v>2010</v>
      </c>
      <c r="F8" s="330">
        <v>2011</v>
      </c>
      <c r="G8" s="331">
        <v>2012</v>
      </c>
      <c r="H8" s="330">
        <v>2013</v>
      </c>
      <c r="I8" s="330">
        <v>2014</v>
      </c>
      <c r="J8" s="330">
        <v>2015</v>
      </c>
      <c r="K8" s="330">
        <v>2016</v>
      </c>
      <c r="L8" s="330">
        <v>2017</v>
      </c>
      <c r="M8" s="510">
        <v>2018</v>
      </c>
      <c r="N8" s="160"/>
    </row>
    <row r="9" spans="1:14" ht="12.75">
      <c r="A9" s="334"/>
      <c r="B9" s="334"/>
      <c r="C9" s="332">
        <v>2008</v>
      </c>
      <c r="D9" s="333"/>
      <c r="E9" s="334"/>
      <c r="F9" s="334"/>
      <c r="G9" s="335"/>
      <c r="H9" s="334"/>
      <c r="I9" s="334"/>
      <c r="J9" s="334"/>
      <c r="K9" s="334"/>
      <c r="L9" s="334"/>
      <c r="M9" s="511"/>
      <c r="N9" s="332"/>
    </row>
    <row r="10" spans="1:14" ht="12.75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3</v>
      </c>
      <c r="H10" s="171">
        <v>4</v>
      </c>
      <c r="I10" s="171">
        <v>5</v>
      </c>
      <c r="J10" s="171">
        <v>6</v>
      </c>
      <c r="K10" s="171">
        <v>3</v>
      </c>
      <c r="L10" s="171">
        <v>4</v>
      </c>
      <c r="M10" s="512">
        <v>5</v>
      </c>
      <c r="N10" s="171"/>
    </row>
    <row r="11" spans="1:14" s="340" customFormat="1" ht="16.5">
      <c r="A11" s="336" t="s">
        <v>214</v>
      </c>
      <c r="B11" s="337" t="s">
        <v>414</v>
      </c>
      <c r="C11" s="623">
        <f>SUM(C12,C16:C19)</f>
        <v>66245029</v>
      </c>
      <c r="D11" s="338">
        <f>SUM(D12,D16:D19)</f>
        <v>83807258</v>
      </c>
      <c r="E11" s="338">
        <f aca="true" t="shared" si="0" ref="E11:L11">SUM(E12,E16,E17,E18,E19)</f>
        <v>85448872</v>
      </c>
      <c r="F11" s="338">
        <f t="shared" si="0"/>
        <v>83506389</v>
      </c>
      <c r="G11" s="338">
        <f t="shared" si="0"/>
        <v>75743751</v>
      </c>
      <c r="H11" s="338">
        <f t="shared" si="0"/>
        <v>78067819</v>
      </c>
      <c r="I11" s="338">
        <f t="shared" si="0"/>
        <v>80553485</v>
      </c>
      <c r="J11" s="338">
        <f t="shared" si="0"/>
        <v>83002535</v>
      </c>
      <c r="K11" s="338">
        <f t="shared" si="0"/>
        <v>85616807</v>
      </c>
      <c r="L11" s="338">
        <f t="shared" si="0"/>
        <v>88298194</v>
      </c>
      <c r="M11" s="364">
        <f>SUM(M12,M16,M17,M18,M19)</f>
        <v>90858840</v>
      </c>
      <c r="N11" s="339">
        <f>SUM(N12,N16,N17,N18,N19)</f>
        <v>93584605.2</v>
      </c>
    </row>
    <row r="12" spans="1:14" s="31" customFormat="1" ht="15">
      <c r="A12" s="341" t="s">
        <v>416</v>
      </c>
      <c r="B12" s="342" t="s">
        <v>184</v>
      </c>
      <c r="C12" s="623">
        <f>SUM(C13:C15)</f>
        <v>17093360</v>
      </c>
      <c r="D12" s="338">
        <f>SUM(D13:D15)</f>
        <v>16270150</v>
      </c>
      <c r="E12" s="338">
        <f>SUM(E13:E15)</f>
        <v>16741985</v>
      </c>
      <c r="F12" s="338">
        <f>SUM(F13:F15)</f>
        <v>17227502</v>
      </c>
      <c r="G12" s="338">
        <v>17491977</v>
      </c>
      <c r="H12" s="338">
        <v>17999244</v>
      </c>
      <c r="I12" s="338">
        <v>18521222</v>
      </c>
      <c r="J12" s="338">
        <v>19058337</v>
      </c>
      <c r="K12" s="338">
        <v>19611028</v>
      </c>
      <c r="L12" s="338">
        <v>20179747</v>
      </c>
      <c r="M12" s="364">
        <f>SUM(M13:M15)</f>
        <v>20764959</v>
      </c>
      <c r="N12" s="339">
        <f>SUM(N13:N15)</f>
        <v>21387907.77</v>
      </c>
    </row>
    <row r="13" spans="1:14" s="31" customFormat="1" ht="25.5" customHeight="1">
      <c r="A13" s="75" t="s">
        <v>215</v>
      </c>
      <c r="B13" s="343" t="s">
        <v>185</v>
      </c>
      <c r="C13" s="624">
        <v>10055701</v>
      </c>
      <c r="D13" s="344">
        <v>10107369</v>
      </c>
      <c r="E13" s="344">
        <f aca="true" t="shared" si="1" ref="E13:E18">ROUND(D13*102.9%,0)</f>
        <v>10400483</v>
      </c>
      <c r="F13" s="344">
        <f aca="true" t="shared" si="2" ref="F13:F18">ROUND(E13*102.9%,0)</f>
        <v>10702097</v>
      </c>
      <c r="G13" s="344">
        <v>11012806</v>
      </c>
      <c r="H13" s="344">
        <v>11332177</v>
      </c>
      <c r="I13" s="344">
        <v>11660810</v>
      </c>
      <c r="J13" s="344">
        <v>11998973</v>
      </c>
      <c r="K13" s="344">
        <v>12346943</v>
      </c>
      <c r="L13" s="344">
        <v>12705004</v>
      </c>
      <c r="M13" s="363">
        <f aca="true" t="shared" si="3" ref="M13:M19">ROUND(L13*102.9%,0)</f>
        <v>13073449</v>
      </c>
      <c r="N13" s="345">
        <f aca="true" t="shared" si="4" ref="N13:N19">M13*103%</f>
        <v>13465652.47</v>
      </c>
    </row>
    <row r="14" spans="1:14" s="31" customFormat="1" ht="12.75" customHeight="1">
      <c r="A14" s="75" t="s">
        <v>216</v>
      </c>
      <c r="B14" s="343" t="s">
        <v>186</v>
      </c>
      <c r="C14" s="624">
        <v>419414</v>
      </c>
      <c r="D14" s="344">
        <v>368134</v>
      </c>
      <c r="E14" s="344">
        <f t="shared" si="1"/>
        <v>378810</v>
      </c>
      <c r="F14" s="344">
        <f t="shared" si="2"/>
        <v>389795</v>
      </c>
      <c r="G14" s="344">
        <v>393599</v>
      </c>
      <c r="H14" s="344">
        <v>405013</v>
      </c>
      <c r="I14" s="344">
        <v>416758</v>
      </c>
      <c r="J14" s="344">
        <v>428844</v>
      </c>
      <c r="K14" s="344">
        <v>441280</v>
      </c>
      <c r="L14" s="344">
        <v>454077</v>
      </c>
      <c r="M14" s="363">
        <f t="shared" si="3"/>
        <v>467245</v>
      </c>
      <c r="N14" s="345">
        <f t="shared" si="4"/>
        <v>481262.35000000003</v>
      </c>
    </row>
    <row r="15" spans="1:14" s="31" customFormat="1" ht="12.75" customHeight="1">
      <c r="A15" s="75" t="s">
        <v>217</v>
      </c>
      <c r="B15" s="343" t="s">
        <v>187</v>
      </c>
      <c r="C15" s="624">
        <v>6618245</v>
      </c>
      <c r="D15" s="344">
        <v>5794647</v>
      </c>
      <c r="E15" s="344">
        <f t="shared" si="1"/>
        <v>5962692</v>
      </c>
      <c r="F15" s="344">
        <f t="shared" si="2"/>
        <v>6135610</v>
      </c>
      <c r="G15" s="344">
        <v>6085572</v>
      </c>
      <c r="H15" s="344">
        <v>6262054</v>
      </c>
      <c r="I15" s="344">
        <v>6443654</v>
      </c>
      <c r="J15" s="344">
        <v>6630520</v>
      </c>
      <c r="K15" s="344">
        <v>6822805</v>
      </c>
      <c r="L15" s="344">
        <v>7020666</v>
      </c>
      <c r="M15" s="363">
        <f t="shared" si="3"/>
        <v>7224265</v>
      </c>
      <c r="N15" s="345">
        <f t="shared" si="4"/>
        <v>7440992.95</v>
      </c>
    </row>
    <row r="16" spans="1:14" s="31" customFormat="1" ht="15">
      <c r="A16" s="346" t="s">
        <v>151</v>
      </c>
      <c r="B16" s="347" t="s">
        <v>275</v>
      </c>
      <c r="C16" s="625">
        <v>37788842</v>
      </c>
      <c r="D16" s="348">
        <v>42063659</v>
      </c>
      <c r="E16" s="348">
        <f t="shared" si="1"/>
        <v>43283505</v>
      </c>
      <c r="F16" s="348">
        <f t="shared" si="2"/>
        <v>44538727</v>
      </c>
      <c r="G16" s="348">
        <v>45987273</v>
      </c>
      <c r="H16" s="348">
        <v>47320904</v>
      </c>
      <c r="I16" s="348">
        <v>48693210</v>
      </c>
      <c r="J16" s="348">
        <v>50105313</v>
      </c>
      <c r="K16" s="348">
        <v>51558367</v>
      </c>
      <c r="L16" s="348">
        <v>53053560</v>
      </c>
      <c r="M16" s="513">
        <f t="shared" si="3"/>
        <v>54592113</v>
      </c>
      <c r="N16" s="339">
        <f t="shared" si="4"/>
        <v>56229876.39</v>
      </c>
    </row>
    <row r="17" spans="1:14" s="352" customFormat="1" ht="30" customHeight="1">
      <c r="A17" s="349" t="s">
        <v>155</v>
      </c>
      <c r="B17" s="350" t="s">
        <v>188</v>
      </c>
      <c r="C17" s="626">
        <v>5906113</v>
      </c>
      <c r="D17" s="348">
        <v>5626184</v>
      </c>
      <c r="E17" s="348">
        <f t="shared" si="1"/>
        <v>5789343</v>
      </c>
      <c r="F17" s="348">
        <f t="shared" si="2"/>
        <v>5957234</v>
      </c>
      <c r="G17" s="348">
        <v>6316083</v>
      </c>
      <c r="H17" s="348">
        <v>6499249</v>
      </c>
      <c r="I17" s="348">
        <v>6687727</v>
      </c>
      <c r="J17" s="348">
        <v>6881671</v>
      </c>
      <c r="K17" s="348">
        <v>7081239</v>
      </c>
      <c r="L17" s="348">
        <v>7286595</v>
      </c>
      <c r="M17" s="513">
        <f t="shared" si="3"/>
        <v>7497906</v>
      </c>
      <c r="N17" s="351">
        <f t="shared" si="4"/>
        <v>7722843.180000001</v>
      </c>
    </row>
    <row r="18" spans="1:14" s="352" customFormat="1" ht="15">
      <c r="A18" s="349" t="s">
        <v>156</v>
      </c>
      <c r="B18" s="353" t="s">
        <v>276</v>
      </c>
      <c r="C18" s="627">
        <v>4688760</v>
      </c>
      <c r="D18" s="348">
        <v>4989348</v>
      </c>
      <c r="E18" s="348">
        <f t="shared" si="1"/>
        <v>5134039</v>
      </c>
      <c r="F18" s="348">
        <f t="shared" si="2"/>
        <v>5282926</v>
      </c>
      <c r="G18" s="348">
        <v>3448418</v>
      </c>
      <c r="H18" s="348">
        <v>3548422</v>
      </c>
      <c r="I18" s="348">
        <v>3651326</v>
      </c>
      <c r="J18" s="348">
        <v>3757214</v>
      </c>
      <c r="K18" s="348">
        <v>3866173</v>
      </c>
      <c r="L18" s="348">
        <v>3978292</v>
      </c>
      <c r="M18" s="513">
        <f t="shared" si="3"/>
        <v>4093662</v>
      </c>
      <c r="N18" s="351">
        <f t="shared" si="4"/>
        <v>4216471.86</v>
      </c>
    </row>
    <row r="19" spans="1:14" s="352" customFormat="1" ht="15">
      <c r="A19" s="349" t="s">
        <v>159</v>
      </c>
      <c r="B19" s="353" t="s">
        <v>189</v>
      </c>
      <c r="C19" s="627">
        <v>767954</v>
      </c>
      <c r="D19" s="348">
        <v>14857917</v>
      </c>
      <c r="E19" s="348">
        <v>14500000</v>
      </c>
      <c r="F19" s="348">
        <v>10500000</v>
      </c>
      <c r="G19" s="348">
        <v>2500000</v>
      </c>
      <c r="H19" s="348">
        <v>2700000</v>
      </c>
      <c r="I19" s="348">
        <v>3000000</v>
      </c>
      <c r="J19" s="348">
        <v>3200000</v>
      </c>
      <c r="K19" s="348">
        <v>3500000</v>
      </c>
      <c r="L19" s="348">
        <v>3800000</v>
      </c>
      <c r="M19" s="513">
        <f t="shared" si="3"/>
        <v>3910200</v>
      </c>
      <c r="N19" s="339">
        <f t="shared" si="4"/>
        <v>4027506</v>
      </c>
    </row>
    <row r="20" spans="1:14" s="340" customFormat="1" ht="16.5">
      <c r="A20" s="336" t="s">
        <v>218</v>
      </c>
      <c r="B20" s="337" t="s">
        <v>353</v>
      </c>
      <c r="C20" s="623">
        <f aca="true" t="shared" si="5" ref="C20:K20">C21+C25</f>
        <v>65341530</v>
      </c>
      <c r="D20" s="338">
        <f t="shared" si="5"/>
        <v>87224929</v>
      </c>
      <c r="E20" s="338">
        <f t="shared" si="5"/>
        <v>86431048</v>
      </c>
      <c r="F20" s="338">
        <f t="shared" si="5"/>
        <v>82515589</v>
      </c>
      <c r="G20" s="338">
        <f t="shared" si="5"/>
        <v>71638582</v>
      </c>
      <c r="H20" s="338">
        <f t="shared" si="5"/>
        <v>71334968</v>
      </c>
      <c r="I20" s="338">
        <f t="shared" si="5"/>
        <v>72038318</v>
      </c>
      <c r="J20" s="338">
        <f t="shared" si="5"/>
        <v>72748701</v>
      </c>
      <c r="K20" s="338">
        <f t="shared" si="5"/>
        <v>73466188</v>
      </c>
      <c r="L20" s="338">
        <f>L21+L25</f>
        <v>74190850</v>
      </c>
      <c r="M20" s="364">
        <f>M21+M25</f>
        <v>74922759</v>
      </c>
      <c r="N20" s="339">
        <f>SUM(N21,N25)</f>
        <v>63500000</v>
      </c>
    </row>
    <row r="21" spans="1:14" s="31" customFormat="1" ht="15">
      <c r="A21" s="341" t="s">
        <v>416</v>
      </c>
      <c r="B21" s="342" t="s">
        <v>147</v>
      </c>
      <c r="C21" s="623">
        <v>61334812</v>
      </c>
      <c r="D21" s="348">
        <v>67590522</v>
      </c>
      <c r="E21" s="509">
        <f>ROUND(D21*101%,0)</f>
        <v>68266427</v>
      </c>
      <c r="F21" s="509">
        <f aca="true" t="shared" si="6" ref="F21:M21">ROUND(E21*101%,0)</f>
        <v>68949091</v>
      </c>
      <c r="G21" s="509">
        <f t="shared" si="6"/>
        <v>69638582</v>
      </c>
      <c r="H21" s="509">
        <f t="shared" si="6"/>
        <v>70334968</v>
      </c>
      <c r="I21" s="509">
        <f t="shared" si="6"/>
        <v>71038318</v>
      </c>
      <c r="J21" s="509">
        <f t="shared" si="6"/>
        <v>71748701</v>
      </c>
      <c r="K21" s="509">
        <f t="shared" si="6"/>
        <v>72466188</v>
      </c>
      <c r="L21" s="509">
        <f t="shared" si="6"/>
        <v>73190850</v>
      </c>
      <c r="M21" s="364">
        <f t="shared" si="6"/>
        <v>73922759</v>
      </c>
      <c r="N21" s="339">
        <v>63000000</v>
      </c>
    </row>
    <row r="22" spans="1:14" s="31" customFormat="1" ht="12.75" customHeight="1" hidden="1">
      <c r="A22" s="354" t="s">
        <v>215</v>
      </c>
      <c r="B22" s="343" t="s">
        <v>190</v>
      </c>
      <c r="C22" s="624">
        <v>4147048</v>
      </c>
      <c r="D22" s="344">
        <f aca="true" t="shared" si="7" ref="D22:K22">SUM(D23:D24)</f>
        <v>1344287</v>
      </c>
      <c r="E22" s="344">
        <f t="shared" si="7"/>
        <v>1246085</v>
      </c>
      <c r="F22" s="344">
        <f t="shared" si="7"/>
        <v>1066506</v>
      </c>
      <c r="G22" s="344">
        <f t="shared" si="7"/>
        <v>938349</v>
      </c>
      <c r="H22" s="344">
        <f t="shared" si="7"/>
        <v>701792</v>
      </c>
      <c r="I22" s="344">
        <f t="shared" si="7"/>
        <v>543482</v>
      </c>
      <c r="J22" s="344">
        <f t="shared" si="7"/>
        <v>315700</v>
      </c>
      <c r="K22" s="344">
        <f t="shared" si="7"/>
        <v>161100</v>
      </c>
      <c r="L22" s="344">
        <f>SUM(L23:L24)</f>
        <v>161100</v>
      </c>
      <c r="M22" s="363">
        <f>SUM(M23:M24)</f>
        <v>161100</v>
      </c>
      <c r="N22" s="345">
        <f>SUM(N23:N24)</f>
        <v>0</v>
      </c>
    </row>
    <row r="23" spans="1:14" s="31" customFormat="1" ht="12.75" customHeight="1" hidden="1">
      <c r="A23" s="355"/>
      <c r="B23" s="356" t="s">
        <v>191</v>
      </c>
      <c r="C23" s="624">
        <v>-2427636</v>
      </c>
      <c r="D23" s="344">
        <f>1623000-524713</f>
        <v>1098287</v>
      </c>
      <c r="E23" s="344">
        <v>1082085</v>
      </c>
      <c r="F23" s="344">
        <v>1066506</v>
      </c>
      <c r="G23" s="344">
        <v>938349</v>
      </c>
      <c r="H23" s="344">
        <v>701792</v>
      </c>
      <c r="I23" s="344">
        <v>543482</v>
      </c>
      <c r="J23" s="344">
        <v>315700</v>
      </c>
      <c r="K23" s="344">
        <v>161100</v>
      </c>
      <c r="L23" s="344">
        <v>161100</v>
      </c>
      <c r="M23" s="363">
        <v>161100</v>
      </c>
      <c r="N23" s="345"/>
    </row>
    <row r="24" spans="1:14" s="31" customFormat="1" ht="12.75" customHeight="1" hidden="1">
      <c r="A24" s="355"/>
      <c r="B24" s="356" t="s">
        <v>192</v>
      </c>
      <c r="C24" s="624">
        <v>23429971</v>
      </c>
      <c r="D24" s="344">
        <v>246000</v>
      </c>
      <c r="E24" s="344">
        <v>164000</v>
      </c>
      <c r="F24" s="344">
        <v>0</v>
      </c>
      <c r="G24" s="344">
        <v>0</v>
      </c>
      <c r="H24" s="344">
        <v>0</v>
      </c>
      <c r="I24" s="344">
        <v>0</v>
      </c>
      <c r="J24" s="344">
        <v>0</v>
      </c>
      <c r="K24" s="344">
        <v>0</v>
      </c>
      <c r="L24" s="344">
        <v>0</v>
      </c>
      <c r="M24" s="363">
        <v>0</v>
      </c>
      <c r="N24" s="345">
        <v>0</v>
      </c>
    </row>
    <row r="25" spans="1:14" s="31" customFormat="1" ht="15">
      <c r="A25" s="341" t="s">
        <v>151</v>
      </c>
      <c r="B25" s="342" t="s">
        <v>193</v>
      </c>
      <c r="C25" s="623">
        <v>4006718</v>
      </c>
      <c r="D25" s="338">
        <v>19634407</v>
      </c>
      <c r="E25" s="338">
        <v>18164621</v>
      </c>
      <c r="F25" s="338">
        <v>13566498</v>
      </c>
      <c r="G25" s="338">
        <v>2000000</v>
      </c>
      <c r="H25" s="338">
        <v>1000000</v>
      </c>
      <c r="I25" s="338">
        <v>1000000</v>
      </c>
      <c r="J25" s="338">
        <v>1000000</v>
      </c>
      <c r="K25" s="338">
        <v>1000000</v>
      </c>
      <c r="L25" s="338">
        <v>1000000</v>
      </c>
      <c r="M25" s="364">
        <v>1000000</v>
      </c>
      <c r="N25" s="339">
        <v>500000</v>
      </c>
    </row>
    <row r="26" spans="1:14" s="340" customFormat="1" ht="16.5">
      <c r="A26" s="336" t="s">
        <v>219</v>
      </c>
      <c r="B26" s="337" t="s">
        <v>194</v>
      </c>
      <c r="C26" s="623">
        <f aca="true" t="shared" si="8" ref="C26:K26">C11-C20</f>
        <v>903499</v>
      </c>
      <c r="D26" s="338">
        <f t="shared" si="8"/>
        <v>-3417671</v>
      </c>
      <c r="E26" s="338">
        <f t="shared" si="8"/>
        <v>-982176</v>
      </c>
      <c r="F26" s="338">
        <f t="shared" si="8"/>
        <v>990800</v>
      </c>
      <c r="G26" s="338">
        <f t="shared" si="8"/>
        <v>4105169</v>
      </c>
      <c r="H26" s="338">
        <f t="shared" si="8"/>
        <v>6732851</v>
      </c>
      <c r="I26" s="338">
        <f t="shared" si="8"/>
        <v>8515167</v>
      </c>
      <c r="J26" s="338">
        <f t="shared" si="8"/>
        <v>10253834</v>
      </c>
      <c r="K26" s="338">
        <f t="shared" si="8"/>
        <v>12150619</v>
      </c>
      <c r="L26" s="338">
        <f>L11-L20</f>
        <v>14107344</v>
      </c>
      <c r="M26" s="364">
        <f>M11-M20</f>
        <v>15936081</v>
      </c>
      <c r="N26" s="339">
        <f>N11-N20</f>
        <v>30084605.200000003</v>
      </c>
    </row>
    <row r="27" spans="1:14" s="358" customFormat="1" ht="38.25" customHeight="1">
      <c r="A27" s="336" t="s">
        <v>238</v>
      </c>
      <c r="B27" s="357" t="s">
        <v>195</v>
      </c>
      <c r="C27" s="338">
        <v>23429971</v>
      </c>
      <c r="D27" s="338">
        <f aca="true" t="shared" si="9" ref="D27:N27">SUM(C40)</f>
        <v>24701398</v>
      </c>
      <c r="E27" s="338">
        <f t="shared" si="9"/>
        <v>23529357</v>
      </c>
      <c r="F27" s="338">
        <f t="shared" si="9"/>
        <v>24511533</v>
      </c>
      <c r="G27" s="338">
        <f t="shared" si="9"/>
        <v>23520733</v>
      </c>
      <c r="H27" s="338">
        <f t="shared" si="9"/>
        <v>19415564</v>
      </c>
      <c r="I27" s="338">
        <f t="shared" si="9"/>
        <v>12836564</v>
      </c>
      <c r="J27" s="338">
        <f t="shared" si="9"/>
        <v>8111564</v>
      </c>
      <c r="K27" s="338">
        <f t="shared" si="9"/>
        <v>3458964</v>
      </c>
      <c r="L27" s="338">
        <f t="shared" si="9"/>
        <v>683964</v>
      </c>
      <c r="M27" s="364">
        <f t="shared" si="9"/>
        <v>0</v>
      </c>
      <c r="N27" s="339">
        <f t="shared" si="9"/>
        <v>0</v>
      </c>
    </row>
    <row r="28" spans="1:14" s="360" customFormat="1" ht="30" customHeight="1">
      <c r="A28" s="341" t="s">
        <v>261</v>
      </c>
      <c r="B28" s="350" t="s">
        <v>576</v>
      </c>
      <c r="C28" s="359">
        <v>4749027</v>
      </c>
      <c r="D28" s="359">
        <f>'zał2-sfin'!F14</f>
        <v>2995816</v>
      </c>
      <c r="E28" s="359">
        <f>-E26+E32+E35+E38</f>
        <v>6650036</v>
      </c>
      <c r="F28" s="359">
        <f>-F26+F32+F35+F38</f>
        <v>4877060</v>
      </c>
      <c r="G28" s="359">
        <f>-G26+G32+G35+G38</f>
        <v>1701049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514">
        <v>0</v>
      </c>
      <c r="N28" s="339">
        <f>240162+N31+N38</f>
        <v>3551162</v>
      </c>
    </row>
    <row r="29" spans="1:14" s="360" customFormat="1" ht="15" customHeight="1" hidden="1">
      <c r="A29" s="341">
        <v>2</v>
      </c>
      <c r="B29" s="350" t="s">
        <v>196</v>
      </c>
      <c r="C29" s="361">
        <v>0</v>
      </c>
      <c r="D29" s="150" t="s">
        <v>289</v>
      </c>
      <c r="E29" s="150" t="s">
        <v>289</v>
      </c>
      <c r="F29" s="150" t="s">
        <v>289</v>
      </c>
      <c r="G29" s="150" t="s">
        <v>289</v>
      </c>
      <c r="H29" s="150" t="s">
        <v>289</v>
      </c>
      <c r="I29" s="150" t="s">
        <v>289</v>
      </c>
      <c r="J29" s="150" t="s">
        <v>289</v>
      </c>
      <c r="K29" s="150" t="s">
        <v>289</v>
      </c>
      <c r="L29" s="150" t="s">
        <v>289</v>
      </c>
      <c r="M29" s="515" t="s">
        <v>289</v>
      </c>
      <c r="N29" s="362" t="s">
        <v>289</v>
      </c>
    </row>
    <row r="30" spans="1:14" s="360" customFormat="1" ht="15" customHeight="1">
      <c r="A30" s="341" t="s">
        <v>262</v>
      </c>
      <c r="B30" s="353" t="s">
        <v>415</v>
      </c>
      <c r="C30" s="361">
        <f aca="true" t="shared" si="10" ref="C30:M30">SUM(C31,C34,C38,C39)</f>
        <v>5047115</v>
      </c>
      <c r="D30" s="361">
        <f t="shared" si="10"/>
        <v>6167857</v>
      </c>
      <c r="E30" s="361">
        <f t="shared" si="10"/>
        <v>7872860</v>
      </c>
      <c r="F30" s="361">
        <f t="shared" si="10"/>
        <v>7817860</v>
      </c>
      <c r="G30" s="361">
        <f t="shared" si="10"/>
        <v>7286218</v>
      </c>
      <c r="H30" s="361">
        <f t="shared" si="10"/>
        <v>7839000</v>
      </c>
      <c r="I30" s="361">
        <f t="shared" si="10"/>
        <v>5765000</v>
      </c>
      <c r="J30" s="361">
        <f t="shared" si="10"/>
        <v>5422600</v>
      </c>
      <c r="K30" s="361">
        <f t="shared" si="10"/>
        <v>3314940</v>
      </c>
      <c r="L30" s="361">
        <f t="shared" si="10"/>
        <v>908964</v>
      </c>
      <c r="M30" s="515">
        <f t="shared" si="10"/>
        <v>0</v>
      </c>
      <c r="N30" s="362"/>
    </row>
    <row r="31" spans="1:14" s="360" customFormat="1" ht="30">
      <c r="A31" s="341" t="s">
        <v>416</v>
      </c>
      <c r="B31" s="350" t="s">
        <v>150</v>
      </c>
      <c r="C31" s="338">
        <f aca="true" t="shared" si="11" ref="C31:M31">SUM(C32:C33)</f>
        <v>3047115</v>
      </c>
      <c r="D31" s="338">
        <f t="shared" si="11"/>
        <v>5968457</v>
      </c>
      <c r="E31" s="338">
        <f t="shared" si="11"/>
        <v>5917860</v>
      </c>
      <c r="F31" s="338">
        <f t="shared" si="11"/>
        <v>5867860</v>
      </c>
      <c r="G31" s="338">
        <f t="shared" si="11"/>
        <v>5406218</v>
      </c>
      <c r="H31" s="338">
        <f t="shared" si="11"/>
        <v>4979000</v>
      </c>
      <c r="I31" s="338">
        <f t="shared" si="11"/>
        <v>1925000</v>
      </c>
      <c r="J31" s="338">
        <f t="shared" si="11"/>
        <v>1602600</v>
      </c>
      <c r="K31" s="338">
        <f t="shared" si="11"/>
        <v>475000</v>
      </c>
      <c r="L31" s="338">
        <f t="shared" si="11"/>
        <v>0</v>
      </c>
      <c r="M31" s="364">
        <f t="shared" si="11"/>
        <v>0</v>
      </c>
      <c r="N31" s="339">
        <v>2311000</v>
      </c>
    </row>
    <row r="32" spans="1:14" s="360" customFormat="1" ht="15" customHeight="1">
      <c r="A32" s="75" t="s">
        <v>417</v>
      </c>
      <c r="B32" s="343" t="s">
        <v>418</v>
      </c>
      <c r="C32" s="344">
        <v>1477600</v>
      </c>
      <c r="D32" s="344">
        <v>4167857</v>
      </c>
      <c r="E32" s="344">
        <v>4167860</v>
      </c>
      <c r="F32" s="344">
        <v>4367860</v>
      </c>
      <c r="G32" s="344">
        <v>4306218</v>
      </c>
      <c r="H32" s="344">
        <v>4079000</v>
      </c>
      <c r="I32" s="344">
        <v>1225000</v>
      </c>
      <c r="J32" s="344">
        <v>1152600</v>
      </c>
      <c r="K32" s="344">
        <v>275000</v>
      </c>
      <c r="L32" s="344">
        <v>0</v>
      </c>
      <c r="M32" s="363">
        <v>0</v>
      </c>
      <c r="N32" s="378">
        <v>0</v>
      </c>
    </row>
    <row r="33" spans="1:14" s="360" customFormat="1" ht="15" customHeight="1">
      <c r="A33" s="75" t="s">
        <v>216</v>
      </c>
      <c r="B33" s="343" t="s">
        <v>149</v>
      </c>
      <c r="C33" s="344">
        <v>1569515</v>
      </c>
      <c r="D33" s="344">
        <v>1800600</v>
      </c>
      <c r="E33" s="344">
        <v>1750000</v>
      </c>
      <c r="F33" s="344">
        <v>1500000</v>
      </c>
      <c r="G33" s="344">
        <v>1100000</v>
      </c>
      <c r="H33" s="344">
        <v>900000</v>
      </c>
      <c r="I33" s="344">
        <v>700000</v>
      </c>
      <c r="J33" s="344">
        <v>450000</v>
      </c>
      <c r="K33" s="344">
        <v>200000</v>
      </c>
      <c r="L33" s="344">
        <v>0</v>
      </c>
      <c r="M33" s="363">
        <v>0</v>
      </c>
      <c r="N33" s="363">
        <f>ROUND(N43*5%,0)</f>
        <v>12008</v>
      </c>
    </row>
    <row r="34" spans="1:14" s="360" customFormat="1" ht="30">
      <c r="A34" s="341" t="s">
        <v>151</v>
      </c>
      <c r="B34" s="350" t="s">
        <v>152</v>
      </c>
      <c r="C34" s="338">
        <f aca="true" t="shared" si="12" ref="C34:L34">SUM(C35:C37)</f>
        <v>0</v>
      </c>
      <c r="D34" s="338">
        <f t="shared" si="12"/>
        <v>199400</v>
      </c>
      <c r="E34" s="338">
        <f t="shared" si="12"/>
        <v>1955000</v>
      </c>
      <c r="F34" s="338">
        <f t="shared" si="12"/>
        <v>1950000</v>
      </c>
      <c r="G34" s="338">
        <f t="shared" si="12"/>
        <v>1880000</v>
      </c>
      <c r="H34" s="338">
        <f t="shared" si="12"/>
        <v>2860000</v>
      </c>
      <c r="I34" s="338">
        <f t="shared" si="12"/>
        <v>3840000</v>
      </c>
      <c r="J34" s="338">
        <f t="shared" si="12"/>
        <v>3820000</v>
      </c>
      <c r="K34" s="338">
        <f t="shared" si="12"/>
        <v>2839940</v>
      </c>
      <c r="L34" s="338">
        <f t="shared" si="12"/>
        <v>908964</v>
      </c>
      <c r="M34" s="364">
        <f>SUM(M35:M37)</f>
        <v>0</v>
      </c>
      <c r="N34" s="364"/>
    </row>
    <row r="35" spans="1:14" s="360" customFormat="1" ht="15" customHeight="1">
      <c r="A35" s="75" t="s">
        <v>417</v>
      </c>
      <c r="B35" s="343" t="s">
        <v>418</v>
      </c>
      <c r="C35" s="344">
        <v>0</v>
      </c>
      <c r="D35" s="344">
        <v>0</v>
      </c>
      <c r="E35" s="344">
        <v>1500000</v>
      </c>
      <c r="F35" s="344">
        <v>1500000</v>
      </c>
      <c r="G35" s="344">
        <v>1500000</v>
      </c>
      <c r="H35" s="344">
        <v>2500000</v>
      </c>
      <c r="I35" s="344">
        <v>3500000</v>
      </c>
      <c r="J35" s="344">
        <v>3500000</v>
      </c>
      <c r="K35" s="344">
        <v>2500000</v>
      </c>
      <c r="L35" s="344">
        <v>683964</v>
      </c>
      <c r="M35" s="363">
        <v>0</v>
      </c>
      <c r="N35" s="345"/>
    </row>
    <row r="36" spans="1:14" s="360" customFormat="1" ht="51" customHeight="1" hidden="1">
      <c r="A36" s="75" t="s">
        <v>216</v>
      </c>
      <c r="B36" s="343" t="s">
        <v>148</v>
      </c>
      <c r="C36" s="149">
        <v>0</v>
      </c>
      <c r="D36" s="149"/>
      <c r="E36" s="344"/>
      <c r="F36" s="344"/>
      <c r="G36" s="344"/>
      <c r="H36" s="344"/>
      <c r="I36" s="344"/>
      <c r="J36" s="344"/>
      <c r="K36" s="344"/>
      <c r="L36" s="344"/>
      <c r="M36" s="363"/>
      <c r="N36" s="345"/>
    </row>
    <row r="37" spans="1:14" s="360" customFormat="1" ht="15" customHeight="1">
      <c r="A37" s="75" t="s">
        <v>216</v>
      </c>
      <c r="B37" s="343" t="s">
        <v>149</v>
      </c>
      <c r="C37" s="344">
        <v>0</v>
      </c>
      <c r="D37" s="344">
        <v>199400</v>
      </c>
      <c r="E37" s="344">
        <v>455000</v>
      </c>
      <c r="F37" s="344">
        <v>450000</v>
      </c>
      <c r="G37" s="344">
        <v>380000</v>
      </c>
      <c r="H37" s="344">
        <v>360000</v>
      </c>
      <c r="I37" s="344">
        <v>340000</v>
      </c>
      <c r="J37" s="344">
        <v>320000</v>
      </c>
      <c r="K37" s="344">
        <f>250000+89940</f>
        <v>339940</v>
      </c>
      <c r="L37" s="344">
        <v>225000</v>
      </c>
      <c r="M37" s="363">
        <v>0</v>
      </c>
      <c r="N37" s="345"/>
    </row>
    <row r="38" spans="1:14" s="360" customFormat="1" ht="15" customHeight="1">
      <c r="A38" s="341" t="s">
        <v>155</v>
      </c>
      <c r="B38" s="350" t="s">
        <v>154</v>
      </c>
      <c r="C38" s="338">
        <v>2000000</v>
      </c>
      <c r="D38" s="338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  <c r="J38" s="338">
        <v>0</v>
      </c>
      <c r="K38" s="338">
        <v>0</v>
      </c>
      <c r="L38" s="338">
        <v>0</v>
      </c>
      <c r="M38" s="364">
        <v>0</v>
      </c>
      <c r="N38" s="339">
        <v>1000000</v>
      </c>
    </row>
    <row r="39" spans="1:14" s="360" customFormat="1" ht="15" customHeight="1">
      <c r="A39" s="341" t="s">
        <v>156</v>
      </c>
      <c r="B39" s="350" t="s">
        <v>153</v>
      </c>
      <c r="C39" s="338">
        <v>0</v>
      </c>
      <c r="D39" s="338">
        <v>0</v>
      </c>
      <c r="E39" s="338">
        <v>0</v>
      </c>
      <c r="F39" s="338">
        <v>0</v>
      </c>
      <c r="G39" s="338">
        <v>0</v>
      </c>
      <c r="H39" s="338">
        <v>0</v>
      </c>
      <c r="I39" s="338">
        <v>0</v>
      </c>
      <c r="J39" s="338">
        <v>0</v>
      </c>
      <c r="K39" s="338">
        <v>0</v>
      </c>
      <c r="L39" s="338">
        <v>0</v>
      </c>
      <c r="M39" s="364">
        <v>0</v>
      </c>
      <c r="N39" s="377">
        <v>0</v>
      </c>
    </row>
    <row r="40" spans="1:14" s="358" customFormat="1" ht="25.5" customHeight="1">
      <c r="A40" s="336" t="s">
        <v>263</v>
      </c>
      <c r="B40" s="357" t="s">
        <v>198</v>
      </c>
      <c r="C40" s="338">
        <f aca="true" t="shared" si="13" ref="C40:M40">SUM(C27+C28-C32-C35-C38)</f>
        <v>24701398</v>
      </c>
      <c r="D40" s="338">
        <f t="shared" si="13"/>
        <v>23529357</v>
      </c>
      <c r="E40" s="338">
        <f t="shared" si="13"/>
        <v>24511533</v>
      </c>
      <c r="F40" s="338">
        <f t="shared" si="13"/>
        <v>23520733</v>
      </c>
      <c r="G40" s="338">
        <f t="shared" si="13"/>
        <v>19415564</v>
      </c>
      <c r="H40" s="338">
        <f t="shared" si="13"/>
        <v>12836564</v>
      </c>
      <c r="I40" s="338">
        <f t="shared" si="13"/>
        <v>8111564</v>
      </c>
      <c r="J40" s="338">
        <f t="shared" si="13"/>
        <v>3458964</v>
      </c>
      <c r="K40" s="338">
        <f t="shared" si="13"/>
        <v>683964</v>
      </c>
      <c r="L40" s="338">
        <f t="shared" si="13"/>
        <v>0</v>
      </c>
      <c r="M40" s="364">
        <f t="shared" si="13"/>
        <v>0</v>
      </c>
      <c r="N40" s="339">
        <f>SUM(N27,N28,-N31,-N38)</f>
        <v>240162</v>
      </c>
    </row>
    <row r="41" spans="1:14" s="358" customFormat="1" ht="51" customHeight="1">
      <c r="A41" s="851" t="s">
        <v>265</v>
      </c>
      <c r="B41" s="662" t="s">
        <v>199</v>
      </c>
      <c r="C41" s="338">
        <f aca="true" t="shared" si="14" ref="C41:M41">SUM(C32,C35,C39,C38,C33,C37)</f>
        <v>5047115</v>
      </c>
      <c r="D41" s="338">
        <f t="shared" si="14"/>
        <v>6167857</v>
      </c>
      <c r="E41" s="338">
        <f t="shared" si="14"/>
        <v>7872860</v>
      </c>
      <c r="F41" s="338">
        <f t="shared" si="14"/>
        <v>7817860</v>
      </c>
      <c r="G41" s="338">
        <f t="shared" si="14"/>
        <v>7286218</v>
      </c>
      <c r="H41" s="338">
        <f t="shared" si="14"/>
        <v>7839000</v>
      </c>
      <c r="I41" s="338">
        <f t="shared" si="14"/>
        <v>5765000</v>
      </c>
      <c r="J41" s="338">
        <f t="shared" si="14"/>
        <v>5422600</v>
      </c>
      <c r="K41" s="338">
        <f t="shared" si="14"/>
        <v>3314940</v>
      </c>
      <c r="L41" s="338">
        <f t="shared" si="14"/>
        <v>908964</v>
      </c>
      <c r="M41" s="364">
        <f t="shared" si="14"/>
        <v>0</v>
      </c>
      <c r="N41" s="339">
        <f>SUM(N31:N38,N22)</f>
        <v>3323008</v>
      </c>
    </row>
    <row r="42" spans="1:14" s="367" customFormat="1" ht="17.25" customHeight="1">
      <c r="A42" s="852"/>
      <c r="B42" s="663"/>
      <c r="C42" s="365">
        <v>0.0786</v>
      </c>
      <c r="D42" s="365">
        <f aca="true" t="shared" si="15" ref="D42:N42">D41/D11</f>
        <v>0.07359573797295695</v>
      </c>
      <c r="E42" s="365">
        <f t="shared" si="15"/>
        <v>0.09213532976772355</v>
      </c>
      <c r="F42" s="365">
        <f t="shared" si="15"/>
        <v>0.0936199025442233</v>
      </c>
      <c r="G42" s="365">
        <f t="shared" si="15"/>
        <v>0.0961956320330637</v>
      </c>
      <c r="H42" s="365">
        <f t="shared" si="15"/>
        <v>0.10041269373747971</v>
      </c>
      <c r="I42" s="365">
        <f t="shared" si="15"/>
        <v>0.07156735676923227</v>
      </c>
      <c r="J42" s="365">
        <f t="shared" si="15"/>
        <v>0.06533053478426894</v>
      </c>
      <c r="K42" s="365">
        <f t="shared" si="15"/>
        <v>0.03871833248815271</v>
      </c>
      <c r="L42" s="365">
        <f t="shared" si="15"/>
        <v>0.010294253583487789</v>
      </c>
      <c r="M42" s="366">
        <f t="shared" si="15"/>
        <v>0</v>
      </c>
      <c r="N42" s="366">
        <f t="shared" si="15"/>
        <v>0.03550806238802191</v>
      </c>
    </row>
    <row r="43" spans="1:14" s="358" customFormat="1" ht="25.5" customHeight="1">
      <c r="A43" s="336" t="s">
        <v>265</v>
      </c>
      <c r="B43" s="357" t="s">
        <v>157</v>
      </c>
      <c r="C43" s="338">
        <f>SUM(C44:C45)</f>
        <v>24701398</v>
      </c>
      <c r="D43" s="338">
        <f aca="true" t="shared" si="16" ref="D43:K43">SUM(D44:D45)</f>
        <v>23529357</v>
      </c>
      <c r="E43" s="338">
        <f t="shared" si="16"/>
        <v>24511533</v>
      </c>
      <c r="F43" s="338">
        <f t="shared" si="16"/>
        <v>23520733</v>
      </c>
      <c r="G43" s="338">
        <f t="shared" si="16"/>
        <v>19415564</v>
      </c>
      <c r="H43" s="338">
        <f t="shared" si="16"/>
        <v>12836564</v>
      </c>
      <c r="I43" s="338">
        <f t="shared" si="16"/>
        <v>8111564</v>
      </c>
      <c r="J43" s="338">
        <f t="shared" si="16"/>
        <v>3458964</v>
      </c>
      <c r="K43" s="338">
        <f t="shared" si="16"/>
        <v>683964</v>
      </c>
      <c r="L43" s="338">
        <f>SUM(L44:L45)</f>
        <v>0</v>
      </c>
      <c r="M43" s="364">
        <f>SUM(M44:M45)</f>
        <v>0</v>
      </c>
      <c r="N43" s="339">
        <f>SUM(N44:N45)</f>
        <v>240162</v>
      </c>
    </row>
    <row r="44" spans="1:14" s="360" customFormat="1" ht="15" customHeight="1" hidden="1">
      <c r="A44" s="341">
        <v>1</v>
      </c>
      <c r="B44" s="350" t="s">
        <v>200</v>
      </c>
      <c r="C44" s="361">
        <v>24701398</v>
      </c>
      <c r="D44" s="150">
        <f aca="true" t="shared" si="17" ref="D44:M44">C44+D28-D32-D35</f>
        <v>23529357</v>
      </c>
      <c r="E44" s="150">
        <f t="shared" si="17"/>
        <v>24511533</v>
      </c>
      <c r="F44" s="150">
        <f t="shared" si="17"/>
        <v>23520733</v>
      </c>
      <c r="G44" s="150">
        <f t="shared" si="17"/>
        <v>19415564</v>
      </c>
      <c r="H44" s="150">
        <f t="shared" si="17"/>
        <v>12836564</v>
      </c>
      <c r="I44" s="150">
        <f t="shared" si="17"/>
        <v>8111564</v>
      </c>
      <c r="J44" s="150">
        <f t="shared" si="17"/>
        <v>3458964</v>
      </c>
      <c r="K44" s="150">
        <f t="shared" si="17"/>
        <v>683964</v>
      </c>
      <c r="L44" s="150">
        <f t="shared" si="17"/>
        <v>0</v>
      </c>
      <c r="M44" s="515">
        <f t="shared" si="17"/>
        <v>0</v>
      </c>
      <c r="N44" s="339">
        <f>M44+N28-N31</f>
        <v>1240162</v>
      </c>
    </row>
    <row r="45" spans="1:14" s="360" customFormat="1" ht="15" customHeight="1" hidden="1">
      <c r="A45" s="341">
        <v>2</v>
      </c>
      <c r="B45" s="350" t="s">
        <v>196</v>
      </c>
      <c r="C45" s="361">
        <v>0</v>
      </c>
      <c r="D45" s="150">
        <v>0</v>
      </c>
      <c r="E45" s="150">
        <v>0</v>
      </c>
      <c r="F45" s="150">
        <v>0</v>
      </c>
      <c r="G45" s="150">
        <f aca="true" t="shared" si="18" ref="G45:L45">F45-G38</f>
        <v>0</v>
      </c>
      <c r="H45" s="150">
        <f t="shared" si="18"/>
        <v>0</v>
      </c>
      <c r="I45" s="150">
        <f t="shared" si="18"/>
        <v>0</v>
      </c>
      <c r="J45" s="150">
        <f t="shared" si="18"/>
        <v>0</v>
      </c>
      <c r="K45" s="150">
        <f t="shared" si="18"/>
        <v>0</v>
      </c>
      <c r="L45" s="150">
        <f t="shared" si="18"/>
        <v>0</v>
      </c>
      <c r="M45" s="515">
        <f>L45-M38</f>
        <v>0</v>
      </c>
      <c r="N45" s="339">
        <f>M45-N38</f>
        <v>-1000000</v>
      </c>
    </row>
    <row r="46" spans="1:14" s="369" customFormat="1" ht="51">
      <c r="A46" s="368" t="s">
        <v>215</v>
      </c>
      <c r="B46" s="343" t="s">
        <v>158</v>
      </c>
      <c r="C46" s="248">
        <v>0</v>
      </c>
      <c r="D46" s="248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516">
        <v>0</v>
      </c>
      <c r="N46" s="351"/>
    </row>
    <row r="47" spans="1:14" s="372" customFormat="1" ht="21" customHeight="1">
      <c r="A47" s="349" t="s">
        <v>577</v>
      </c>
      <c r="B47" s="357" t="s">
        <v>443</v>
      </c>
      <c r="C47" s="370">
        <f aca="true" t="shared" si="19" ref="C47:N47">C43/C11</f>
        <v>0.3728792691750501</v>
      </c>
      <c r="D47" s="370">
        <f t="shared" si="19"/>
        <v>0.28075559995054367</v>
      </c>
      <c r="E47" s="370">
        <f t="shared" si="19"/>
        <v>0.28685613310378166</v>
      </c>
      <c r="F47" s="370">
        <f t="shared" si="19"/>
        <v>0.28166387364684153</v>
      </c>
      <c r="G47" s="370">
        <f t="shared" si="19"/>
        <v>0.25633222204693823</v>
      </c>
      <c r="H47" s="370">
        <f t="shared" si="19"/>
        <v>0.16442836708426553</v>
      </c>
      <c r="I47" s="370">
        <f t="shared" si="19"/>
        <v>0.10069786552375729</v>
      </c>
      <c r="J47" s="370">
        <f t="shared" si="19"/>
        <v>0.04167299227668167</v>
      </c>
      <c r="K47" s="370">
        <f t="shared" si="19"/>
        <v>0.007988665122725261</v>
      </c>
      <c r="L47" s="370">
        <f t="shared" si="19"/>
        <v>0</v>
      </c>
      <c r="M47" s="371">
        <f t="shared" si="19"/>
        <v>0</v>
      </c>
      <c r="N47" s="371">
        <f t="shared" si="19"/>
        <v>0.0025662554165479345</v>
      </c>
    </row>
    <row r="48" spans="1:14" s="375" customFormat="1" ht="25.5">
      <c r="A48" s="349" t="s">
        <v>578</v>
      </c>
      <c r="B48" s="357" t="s">
        <v>444</v>
      </c>
      <c r="C48" s="373">
        <f aca="true" t="shared" si="20" ref="C48:M48">(C41/C11)</f>
        <v>0.07618858465591433</v>
      </c>
      <c r="D48" s="373">
        <f t="shared" si="20"/>
        <v>0.07359573797295695</v>
      </c>
      <c r="E48" s="373">
        <f t="shared" si="20"/>
        <v>0.09213532976772355</v>
      </c>
      <c r="F48" s="373">
        <f t="shared" si="20"/>
        <v>0.0936199025442233</v>
      </c>
      <c r="G48" s="373">
        <f t="shared" si="20"/>
        <v>0.0961956320330637</v>
      </c>
      <c r="H48" s="373">
        <f t="shared" si="20"/>
        <v>0.10041269373747971</v>
      </c>
      <c r="I48" s="373">
        <f t="shared" si="20"/>
        <v>0.07156735676923227</v>
      </c>
      <c r="J48" s="373">
        <f t="shared" si="20"/>
        <v>0.06533053478426894</v>
      </c>
      <c r="K48" s="373">
        <f t="shared" si="20"/>
        <v>0.03871833248815271</v>
      </c>
      <c r="L48" s="373">
        <f t="shared" si="20"/>
        <v>0.010294253583487789</v>
      </c>
      <c r="M48" s="374">
        <f t="shared" si="20"/>
        <v>0</v>
      </c>
      <c r="N48" s="374"/>
    </row>
    <row r="49" spans="1:14" s="57" customFormat="1" ht="17.25" customHeight="1">
      <c r="A49" s="349" t="s">
        <v>579</v>
      </c>
      <c r="B49" s="357" t="s">
        <v>445</v>
      </c>
      <c r="C49" s="373">
        <f aca="true" t="shared" si="21" ref="C49:M49">C43/C11</f>
        <v>0.3728792691750501</v>
      </c>
      <c r="D49" s="373">
        <f t="shared" si="21"/>
        <v>0.28075559995054367</v>
      </c>
      <c r="E49" s="373">
        <f t="shared" si="21"/>
        <v>0.28685613310378166</v>
      </c>
      <c r="F49" s="373">
        <f t="shared" si="21"/>
        <v>0.28166387364684153</v>
      </c>
      <c r="G49" s="373">
        <f t="shared" si="21"/>
        <v>0.25633222204693823</v>
      </c>
      <c r="H49" s="373">
        <f t="shared" si="21"/>
        <v>0.16442836708426553</v>
      </c>
      <c r="I49" s="373">
        <f t="shared" si="21"/>
        <v>0.10069786552375729</v>
      </c>
      <c r="J49" s="373">
        <f t="shared" si="21"/>
        <v>0.04167299227668167</v>
      </c>
      <c r="K49" s="373">
        <f t="shared" si="21"/>
        <v>0.007988665122725261</v>
      </c>
      <c r="L49" s="373">
        <f t="shared" si="21"/>
        <v>0</v>
      </c>
      <c r="M49" s="374">
        <f t="shared" si="21"/>
        <v>0</v>
      </c>
      <c r="N49" s="374"/>
    </row>
    <row r="50" spans="1:14" s="57" customFormat="1" ht="24.75" customHeight="1">
      <c r="A50" s="349" t="s">
        <v>580</v>
      </c>
      <c r="B50" s="357" t="s">
        <v>446</v>
      </c>
      <c r="C50" s="373">
        <f aca="true" t="shared" si="22" ref="C50:M50">C41/C11</f>
        <v>0.07618858465591433</v>
      </c>
      <c r="D50" s="373">
        <f t="shared" si="22"/>
        <v>0.07359573797295695</v>
      </c>
      <c r="E50" s="373">
        <f t="shared" si="22"/>
        <v>0.09213532976772355</v>
      </c>
      <c r="F50" s="373">
        <f t="shared" si="22"/>
        <v>0.0936199025442233</v>
      </c>
      <c r="G50" s="373">
        <f t="shared" si="22"/>
        <v>0.0961956320330637</v>
      </c>
      <c r="H50" s="373">
        <f t="shared" si="22"/>
        <v>0.10041269373747971</v>
      </c>
      <c r="I50" s="373">
        <f t="shared" si="22"/>
        <v>0.07156735676923227</v>
      </c>
      <c r="J50" s="373">
        <f t="shared" si="22"/>
        <v>0.06533053478426894</v>
      </c>
      <c r="K50" s="373">
        <f t="shared" si="22"/>
        <v>0.03871833248815271</v>
      </c>
      <c r="L50" s="373">
        <f t="shared" si="22"/>
        <v>0.010294253583487789</v>
      </c>
      <c r="M50" s="374">
        <f t="shared" si="22"/>
        <v>0</v>
      </c>
      <c r="N50" s="374"/>
    </row>
    <row r="51" spans="1:13" ht="12.75">
      <c r="A51" s="52"/>
      <c r="D51" s="46"/>
      <c r="E51" s="46"/>
      <c r="F51" s="76"/>
      <c r="G51" s="52"/>
      <c r="H51" s="46"/>
      <c r="I51" s="46"/>
      <c r="J51" s="46"/>
      <c r="K51" s="46"/>
      <c r="L51" s="76"/>
      <c r="M51" s="52"/>
    </row>
    <row r="52" spans="1:14" ht="12.75" hidden="1">
      <c r="A52" s="52"/>
      <c r="D52" s="46"/>
      <c r="E52" s="46">
        <f>E40*5%</f>
        <v>1225576.6500000001</v>
      </c>
      <c r="F52" s="46">
        <f aca="true" t="shared" si="23" ref="F52:N52">F40*5%</f>
        <v>1176036.6500000001</v>
      </c>
      <c r="G52" s="46">
        <f t="shared" si="23"/>
        <v>970778.2000000001</v>
      </c>
      <c r="H52" s="46">
        <f t="shared" si="23"/>
        <v>641828.2000000001</v>
      </c>
      <c r="I52" s="46">
        <f t="shared" si="23"/>
        <v>405578.2</v>
      </c>
      <c r="J52" s="46">
        <f t="shared" si="23"/>
        <v>172948.2</v>
      </c>
      <c r="K52" s="46">
        <f t="shared" si="23"/>
        <v>34198.200000000004</v>
      </c>
      <c r="L52" s="46">
        <f t="shared" si="23"/>
        <v>0</v>
      </c>
      <c r="M52" s="46">
        <f t="shared" si="23"/>
        <v>0</v>
      </c>
      <c r="N52" s="109">
        <f t="shared" si="23"/>
        <v>12008.1</v>
      </c>
    </row>
    <row r="53" spans="1:13" ht="12.75">
      <c r="A53" s="52"/>
      <c r="D53" s="46"/>
      <c r="E53" s="46"/>
      <c r="F53" s="76"/>
      <c r="G53" s="52"/>
      <c r="H53" s="46"/>
      <c r="I53" s="46"/>
      <c r="J53" s="46"/>
      <c r="K53" s="46"/>
      <c r="L53" s="76"/>
      <c r="M53" s="52"/>
    </row>
    <row r="54" spans="1:13" ht="12.75">
      <c r="A54" s="52"/>
      <c r="D54" s="46"/>
      <c r="E54" s="46"/>
      <c r="F54" s="76"/>
      <c r="G54" s="52"/>
      <c r="H54" s="46"/>
      <c r="I54" s="46"/>
      <c r="J54" s="46"/>
      <c r="K54" s="46"/>
      <c r="L54" s="76"/>
      <c r="M54" s="52"/>
    </row>
    <row r="55" spans="1:13" ht="12.75">
      <c r="A55" s="52"/>
      <c r="D55" s="46"/>
      <c r="E55" s="46"/>
      <c r="F55" s="76"/>
      <c r="G55" s="52"/>
      <c r="H55" s="46"/>
      <c r="I55" s="46"/>
      <c r="J55" s="46"/>
      <c r="K55" s="46"/>
      <c r="L55" s="76"/>
      <c r="M55" s="52"/>
    </row>
    <row r="56" spans="4:13" ht="12.75">
      <c r="D56" s="46"/>
      <c r="E56" s="46"/>
      <c r="F56" s="76"/>
      <c r="G56" s="46"/>
      <c r="H56" s="46"/>
      <c r="I56" s="46"/>
      <c r="J56" s="46"/>
      <c r="K56" s="46"/>
      <c r="L56" s="76"/>
      <c r="M56" s="46"/>
    </row>
    <row r="57" spans="4:13" ht="12.75">
      <c r="D57" s="46"/>
      <c r="E57" s="46"/>
      <c r="F57" s="76"/>
      <c r="G57" s="46"/>
      <c r="H57" s="46"/>
      <c r="I57" s="46"/>
      <c r="J57" s="46"/>
      <c r="K57" s="46"/>
      <c r="L57" s="76"/>
      <c r="M57" s="46"/>
    </row>
    <row r="58" spans="4:13" ht="12.75">
      <c r="D58" s="46"/>
      <c r="E58" s="46"/>
      <c r="F58" s="76"/>
      <c r="G58" s="46"/>
      <c r="H58" s="46"/>
      <c r="I58" s="46"/>
      <c r="J58" s="46"/>
      <c r="K58" s="46"/>
      <c r="L58" s="76"/>
      <c r="M58" s="46"/>
    </row>
    <row r="59" spans="4:13" ht="12.75">
      <c r="D59" s="46"/>
      <c r="E59" s="46"/>
      <c r="F59" s="76"/>
      <c r="G59" s="46"/>
      <c r="H59" s="46"/>
      <c r="I59" s="46"/>
      <c r="J59" s="46"/>
      <c r="K59" s="46"/>
      <c r="L59" s="76"/>
      <c r="M59" s="46"/>
    </row>
    <row r="60" spans="4:13" ht="12.75">
      <c r="D60" s="46"/>
      <c r="E60" s="46"/>
      <c r="F60" s="76"/>
      <c r="G60" s="46"/>
      <c r="H60" s="46"/>
      <c r="I60" s="46"/>
      <c r="J60" s="46"/>
      <c r="K60" s="46"/>
      <c r="L60" s="76"/>
      <c r="M60" s="46"/>
    </row>
    <row r="61" spans="4:13" ht="12.75"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4:13" ht="12.75"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4:13" ht="12.75"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4:13" ht="12.75"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4:13" ht="12.75"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4:13" ht="12.75"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4:13" ht="12.75"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4:13" ht="12.75"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4:13" ht="12.75"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4:13" ht="12.75"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4:13" ht="12.75"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4:13" ht="12.75"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4:13" ht="12.75"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4:13" ht="12.75"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4:13" ht="12.75">
      <c r="D75" s="46"/>
      <c r="E75" s="46"/>
      <c r="F75" s="46"/>
      <c r="G75" s="46"/>
      <c r="H75" s="46"/>
      <c r="I75" s="46"/>
      <c r="J75" s="46"/>
      <c r="K75" s="46"/>
      <c r="L75" s="46"/>
      <c r="M75" s="46"/>
    </row>
  </sheetData>
  <mergeCells count="5">
    <mergeCell ref="G7:J7"/>
    <mergeCell ref="K7:N7"/>
    <mergeCell ref="A41:A42"/>
    <mergeCell ref="B41:B42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S31"/>
  <sheetViews>
    <sheetView zoomScale="80" zoomScaleNormal="80" workbookViewId="0" topLeftCell="A1">
      <pane ySplit="1695" topLeftCell="BM1" activePane="bottomLeft" state="split"/>
      <selection pane="topLeft" activeCell="Q2" sqref="Q2"/>
      <selection pane="bottomLeft" activeCell="T11" sqref="T11"/>
    </sheetView>
  </sheetViews>
  <sheetFormatPr defaultColWidth="9.00390625" defaultRowHeight="12.75"/>
  <cols>
    <col min="1" max="1" width="5.00390625" style="46" customWidth="1"/>
    <col min="2" max="2" width="6.75390625" style="46" customWidth="1"/>
    <col min="3" max="3" width="31.00390625" style="46" customWidth="1"/>
    <col min="4" max="4" width="8.00390625" style="52" hidden="1" customWidth="1"/>
    <col min="5" max="5" width="11.125" style="46" customWidth="1"/>
    <col min="6" max="6" width="11.625" style="46" hidden="1" customWidth="1"/>
    <col min="7" max="7" width="12.125" style="46" hidden="1" customWidth="1"/>
    <col min="8" max="8" width="11.875" style="50" customWidth="1"/>
    <col min="9" max="9" width="9.75390625" style="46" customWidth="1"/>
    <col min="10" max="10" width="9.625" style="46" customWidth="1"/>
    <col min="11" max="11" width="2.875" style="46" customWidth="1"/>
    <col min="12" max="12" width="10.875" style="46" customWidth="1"/>
    <col min="13" max="13" width="14.875" style="46" customWidth="1"/>
    <col min="14" max="14" width="10.00390625" style="46" hidden="1" customWidth="1"/>
    <col min="15" max="15" width="12.00390625" style="46" customWidth="1"/>
    <col min="16" max="16" width="11.625" style="46" customWidth="1"/>
    <col min="17" max="17" width="14.25390625" style="46" customWidth="1"/>
    <col min="18" max="18" width="9.125" style="46" customWidth="1"/>
    <col min="19" max="19" width="9.875" style="46" bestFit="1" customWidth="1"/>
    <col min="20" max="16384" width="9.125" style="46" customWidth="1"/>
  </cols>
  <sheetData>
    <row r="1" spans="13:17" ht="16.5" customHeight="1">
      <c r="M1" s="48"/>
      <c r="N1" s="48"/>
      <c r="O1" s="48"/>
      <c r="P1" s="48"/>
      <c r="Q1" s="35" t="s">
        <v>382</v>
      </c>
    </row>
    <row r="2" spans="13:17" ht="15" customHeight="1">
      <c r="M2" s="47"/>
      <c r="N2" s="47"/>
      <c r="O2" s="47"/>
      <c r="P2" s="47"/>
      <c r="Q2" s="47" t="s">
        <v>582</v>
      </c>
    </row>
    <row r="3" spans="13:17" ht="12" customHeight="1">
      <c r="M3" s="47"/>
      <c r="N3" s="47"/>
      <c r="O3" s="47"/>
      <c r="P3" s="47"/>
      <c r="Q3" s="47" t="s">
        <v>337</v>
      </c>
    </row>
    <row r="4" spans="14:16" ht="3.75" customHeight="1">
      <c r="N4" s="21"/>
      <c r="O4" s="21"/>
      <c r="P4" s="28"/>
    </row>
    <row r="5" spans="14:16" ht="1.5" customHeight="1">
      <c r="N5" s="21"/>
      <c r="O5" s="21"/>
      <c r="P5" s="28"/>
    </row>
    <row r="6" spans="14:16" ht="16.5" customHeight="1" hidden="1">
      <c r="N6" s="21"/>
      <c r="O6" s="21"/>
      <c r="P6" s="28"/>
    </row>
    <row r="7" spans="1:17" s="57" customFormat="1" ht="9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</row>
    <row r="8" spans="1:17" s="57" customFormat="1" ht="17.25" customHeight="1">
      <c r="A8" s="714" t="s">
        <v>111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</row>
    <row r="9" ht="15" customHeight="1">
      <c r="Q9" s="58" t="s">
        <v>271</v>
      </c>
    </row>
    <row r="10" spans="1:17" ht="12.75" customHeight="1">
      <c r="A10" s="715" t="s">
        <v>207</v>
      </c>
      <c r="B10" s="715" t="s">
        <v>208</v>
      </c>
      <c r="C10" s="715" t="s">
        <v>132</v>
      </c>
      <c r="D10" s="715" t="s">
        <v>362</v>
      </c>
      <c r="E10" s="715" t="s">
        <v>133</v>
      </c>
      <c r="F10" s="715" t="s">
        <v>363</v>
      </c>
      <c r="G10" s="715" t="s">
        <v>364</v>
      </c>
      <c r="H10" s="718" t="s">
        <v>139</v>
      </c>
      <c r="I10" s="694"/>
      <c r="J10" s="694"/>
      <c r="K10" s="694"/>
      <c r="L10" s="694"/>
      <c r="M10" s="694"/>
      <c r="N10" s="694"/>
      <c r="O10" s="694"/>
      <c r="P10" s="694"/>
      <c r="Q10" s="715" t="s">
        <v>68</v>
      </c>
    </row>
    <row r="11" spans="1:17" ht="12.75">
      <c r="A11" s="716"/>
      <c r="B11" s="716"/>
      <c r="C11" s="716"/>
      <c r="D11" s="717"/>
      <c r="E11" s="716"/>
      <c r="F11" s="716"/>
      <c r="G11" s="716"/>
      <c r="H11" s="715" t="s">
        <v>42</v>
      </c>
      <c r="I11" s="715" t="s">
        <v>140</v>
      </c>
      <c r="J11" s="695"/>
      <c r="K11" s="695"/>
      <c r="L11" s="695"/>
      <c r="M11" s="695"/>
      <c r="N11" s="715" t="s">
        <v>365</v>
      </c>
      <c r="O11" s="715" t="s">
        <v>553</v>
      </c>
      <c r="P11" s="715" t="s">
        <v>41</v>
      </c>
      <c r="Q11" s="717"/>
    </row>
    <row r="12" spans="1:17" ht="52.5" customHeight="1">
      <c r="A12" s="716"/>
      <c r="B12" s="716"/>
      <c r="C12" s="716"/>
      <c r="D12" s="717"/>
      <c r="E12" s="716"/>
      <c r="F12" s="716"/>
      <c r="G12" s="716"/>
      <c r="H12" s="715"/>
      <c r="I12" s="157" t="s">
        <v>136</v>
      </c>
      <c r="J12" s="157" t="s">
        <v>366</v>
      </c>
      <c r="K12" s="715" t="s">
        <v>137</v>
      </c>
      <c r="L12" s="715"/>
      <c r="M12" s="157" t="s">
        <v>138</v>
      </c>
      <c r="N12" s="715"/>
      <c r="O12" s="715"/>
      <c r="P12" s="715"/>
      <c r="Q12" s="717"/>
    </row>
    <row r="13" spans="1:17" ht="12.75">
      <c r="A13" s="75" t="s">
        <v>215</v>
      </c>
      <c r="B13" s="75" t="s">
        <v>216</v>
      </c>
      <c r="C13" s="75" t="s">
        <v>217</v>
      </c>
      <c r="D13" s="75" t="s">
        <v>206</v>
      </c>
      <c r="E13" s="75" t="s">
        <v>206</v>
      </c>
      <c r="F13" s="75" t="s">
        <v>221</v>
      </c>
      <c r="G13" s="75" t="s">
        <v>225</v>
      </c>
      <c r="H13" s="75" t="s">
        <v>221</v>
      </c>
      <c r="I13" s="75" t="s">
        <v>225</v>
      </c>
      <c r="J13" s="75" t="s">
        <v>235</v>
      </c>
      <c r="K13" s="696" t="s">
        <v>244</v>
      </c>
      <c r="L13" s="682"/>
      <c r="M13" s="75" t="s">
        <v>300</v>
      </c>
      <c r="N13" s="75" t="s">
        <v>302</v>
      </c>
      <c r="O13" s="75" t="s">
        <v>302</v>
      </c>
      <c r="P13" s="75" t="s">
        <v>134</v>
      </c>
      <c r="Q13" s="75" t="s">
        <v>135</v>
      </c>
    </row>
    <row r="14" spans="1:17" ht="12.75">
      <c r="A14" s="187">
        <v>600</v>
      </c>
      <c r="B14" s="187">
        <v>60014</v>
      </c>
      <c r="C14" s="29" t="s">
        <v>311</v>
      </c>
      <c r="D14" s="161"/>
      <c r="E14" s="191">
        <f aca="true" t="shared" si="0" ref="E14:M14">SUM(E15:E25)</f>
        <v>43644730</v>
      </c>
      <c r="F14" s="191">
        <f t="shared" si="0"/>
        <v>0</v>
      </c>
      <c r="G14" s="191">
        <f t="shared" si="0"/>
        <v>0</v>
      </c>
      <c r="H14" s="191">
        <f t="shared" si="0"/>
        <v>12827845</v>
      </c>
      <c r="I14" s="191">
        <f t="shared" si="0"/>
        <v>1297685</v>
      </c>
      <c r="J14" s="191">
        <f t="shared" si="0"/>
        <v>0</v>
      </c>
      <c r="K14" s="191"/>
      <c r="L14" s="191">
        <f t="shared" si="0"/>
        <v>3323210</v>
      </c>
      <c r="M14" s="191">
        <f t="shared" si="0"/>
        <v>8206950</v>
      </c>
      <c r="N14" s="191" t="e">
        <f>SUM(#REF!)</f>
        <v>#REF!</v>
      </c>
      <c r="O14" s="191">
        <f>SUM(O15:O25)</f>
        <v>12113945</v>
      </c>
      <c r="P14" s="191">
        <f>SUM(P15:P25)</f>
        <v>13566498</v>
      </c>
      <c r="Q14" s="29"/>
    </row>
    <row r="15" spans="1:17" ht="38.25" customHeight="1">
      <c r="A15" s="406"/>
      <c r="B15" s="189"/>
      <c r="C15" s="683" t="s">
        <v>105</v>
      </c>
      <c r="D15" s="686"/>
      <c r="E15" s="711">
        <v>579204</v>
      </c>
      <c r="F15" s="689"/>
      <c r="G15" s="689"/>
      <c r="H15" s="711">
        <v>100000</v>
      </c>
      <c r="I15" s="692">
        <v>100000</v>
      </c>
      <c r="J15" s="692">
        <v>0</v>
      </c>
      <c r="K15" s="705"/>
      <c r="L15" s="702">
        <v>0</v>
      </c>
      <c r="M15" s="708">
        <v>0</v>
      </c>
      <c r="N15" s="711"/>
      <c r="O15" s="711">
        <v>120000</v>
      </c>
      <c r="P15" s="711">
        <v>158998</v>
      </c>
      <c r="Q15" s="700" t="s">
        <v>295</v>
      </c>
    </row>
    <row r="16" spans="1:17" ht="12.75">
      <c r="A16" s="115"/>
      <c r="B16" s="116"/>
      <c r="C16" s="684"/>
      <c r="D16" s="687"/>
      <c r="E16" s="712"/>
      <c r="F16" s="690"/>
      <c r="G16" s="690"/>
      <c r="H16" s="712"/>
      <c r="I16" s="693"/>
      <c r="J16" s="693"/>
      <c r="K16" s="706"/>
      <c r="L16" s="703"/>
      <c r="M16" s="709"/>
      <c r="N16" s="712"/>
      <c r="O16" s="712"/>
      <c r="P16" s="712"/>
      <c r="Q16" s="677"/>
    </row>
    <row r="17" spans="1:17" ht="15.75" customHeight="1">
      <c r="A17" s="115"/>
      <c r="B17" s="116"/>
      <c r="C17" s="685"/>
      <c r="D17" s="688"/>
      <c r="E17" s="713"/>
      <c r="F17" s="691"/>
      <c r="G17" s="691"/>
      <c r="H17" s="713"/>
      <c r="I17" s="676"/>
      <c r="J17" s="676"/>
      <c r="K17" s="707"/>
      <c r="L17" s="704"/>
      <c r="M17" s="710"/>
      <c r="N17" s="713"/>
      <c r="O17" s="713"/>
      <c r="P17" s="713"/>
      <c r="Q17" s="677"/>
    </row>
    <row r="18" spans="1:17" ht="16.5" customHeight="1">
      <c r="A18" s="115"/>
      <c r="B18" s="116"/>
      <c r="C18" s="683" t="s">
        <v>574</v>
      </c>
      <c r="D18" s="686"/>
      <c r="E18" s="711">
        <v>9251078</v>
      </c>
      <c r="F18" s="689"/>
      <c r="G18" s="689"/>
      <c r="H18" s="711">
        <v>50000</v>
      </c>
      <c r="I18" s="692">
        <v>5000</v>
      </c>
      <c r="J18" s="692">
        <v>0</v>
      </c>
      <c r="K18" s="705" t="s">
        <v>453</v>
      </c>
      <c r="L18" s="702">
        <v>10000</v>
      </c>
      <c r="M18" s="708">
        <v>35000</v>
      </c>
      <c r="N18" s="711"/>
      <c r="O18" s="711">
        <v>3067163</v>
      </c>
      <c r="P18" s="711">
        <v>3080538</v>
      </c>
      <c r="Q18" s="677"/>
    </row>
    <row r="19" spans="1:17" ht="16.5" customHeight="1">
      <c r="A19" s="115"/>
      <c r="B19" s="116"/>
      <c r="C19" s="684"/>
      <c r="D19" s="687"/>
      <c r="E19" s="712"/>
      <c r="F19" s="690"/>
      <c r="G19" s="690"/>
      <c r="H19" s="712"/>
      <c r="I19" s="693"/>
      <c r="J19" s="693"/>
      <c r="K19" s="706"/>
      <c r="L19" s="703"/>
      <c r="M19" s="709"/>
      <c r="N19" s="712"/>
      <c r="O19" s="712"/>
      <c r="P19" s="712"/>
      <c r="Q19" s="677"/>
    </row>
    <row r="20" spans="1:17" ht="21.75" customHeight="1">
      <c r="A20" s="115"/>
      <c r="B20" s="116"/>
      <c r="C20" s="685"/>
      <c r="D20" s="688"/>
      <c r="E20" s="713"/>
      <c r="F20" s="691"/>
      <c r="G20" s="691"/>
      <c r="H20" s="713"/>
      <c r="I20" s="676"/>
      <c r="J20" s="676"/>
      <c r="K20" s="707"/>
      <c r="L20" s="704"/>
      <c r="M20" s="710"/>
      <c r="N20" s="713"/>
      <c r="O20" s="713"/>
      <c r="P20" s="713"/>
      <c r="Q20" s="677"/>
    </row>
    <row r="21" spans="1:17" ht="41.25" customHeight="1">
      <c r="A21" s="115"/>
      <c r="B21" s="116"/>
      <c r="C21" s="501" t="s">
        <v>47</v>
      </c>
      <c r="D21" s="432"/>
      <c r="E21" s="399">
        <v>14351171</v>
      </c>
      <c r="F21" s="451"/>
      <c r="G21" s="451"/>
      <c r="H21" s="434">
        <f>SUM(I21,L21,M21)</f>
        <v>2192158</v>
      </c>
      <c r="I21" s="426">
        <v>219216</v>
      </c>
      <c r="J21" s="426">
        <v>0</v>
      </c>
      <c r="K21" s="317" t="s">
        <v>453</v>
      </c>
      <c r="L21" s="317">
        <v>538613</v>
      </c>
      <c r="M21" s="427">
        <v>1434329</v>
      </c>
      <c r="N21" s="434"/>
      <c r="O21" s="434">
        <v>3714212</v>
      </c>
      <c r="P21" s="434">
        <v>6696962</v>
      </c>
      <c r="Q21" s="677"/>
    </row>
    <row r="22" spans="1:19" ht="70.5" customHeight="1">
      <c r="A22" s="115"/>
      <c r="B22" s="116"/>
      <c r="C22" s="442" t="s">
        <v>46</v>
      </c>
      <c r="D22" s="433"/>
      <c r="E22" s="316">
        <v>4223547</v>
      </c>
      <c r="F22" s="502"/>
      <c r="G22" s="502"/>
      <c r="H22" s="434">
        <f>SUM(I22,L22,M22)</f>
        <v>4196707</v>
      </c>
      <c r="I22" s="621">
        <v>343703</v>
      </c>
      <c r="J22" s="621">
        <v>0</v>
      </c>
      <c r="K22" s="317" t="s">
        <v>453</v>
      </c>
      <c r="L22" s="317">
        <v>1409506</v>
      </c>
      <c r="M22" s="622">
        <v>2443498</v>
      </c>
      <c r="N22" s="317"/>
      <c r="O22" s="317">
        <v>0</v>
      </c>
      <c r="P22" s="317">
        <v>0</v>
      </c>
      <c r="Q22" s="677"/>
      <c r="S22" s="76"/>
    </row>
    <row r="23" spans="1:19" ht="66.75" customHeight="1">
      <c r="A23" s="453"/>
      <c r="B23" s="454"/>
      <c r="C23" s="501" t="s">
        <v>106</v>
      </c>
      <c r="D23" s="432"/>
      <c r="E23" s="399">
        <v>4721589</v>
      </c>
      <c r="F23" s="451"/>
      <c r="G23" s="451"/>
      <c r="H23" s="434">
        <f>SUM(I23,L23,M23)</f>
        <v>4667089</v>
      </c>
      <c r="I23" s="426">
        <v>452888</v>
      </c>
      <c r="J23" s="426">
        <v>0</v>
      </c>
      <c r="K23" s="317" t="s">
        <v>453</v>
      </c>
      <c r="L23" s="317">
        <v>1043977</v>
      </c>
      <c r="M23" s="427">
        <v>3170224</v>
      </c>
      <c r="N23" s="434"/>
      <c r="O23" s="434">
        <v>0</v>
      </c>
      <c r="P23" s="434">
        <v>0</v>
      </c>
      <c r="Q23" s="701"/>
      <c r="S23" s="76">
        <f>SUM(I21:I23)</f>
        <v>1015807</v>
      </c>
    </row>
    <row r="24" spans="1:17" ht="53.25" customHeight="1">
      <c r="A24" s="552">
        <v>600</v>
      </c>
      <c r="B24" s="187">
        <v>60014</v>
      </c>
      <c r="C24" s="551" t="s">
        <v>572</v>
      </c>
      <c r="D24" s="441"/>
      <c r="E24" s="316">
        <v>5018141</v>
      </c>
      <c r="F24" s="503"/>
      <c r="G24" s="503"/>
      <c r="H24" s="317">
        <f>SUM(I24:M24)</f>
        <v>1551891</v>
      </c>
      <c r="I24" s="504">
        <v>106878</v>
      </c>
      <c r="J24" s="504">
        <v>0</v>
      </c>
      <c r="K24" s="317" t="s">
        <v>453</v>
      </c>
      <c r="L24" s="317">
        <v>321114</v>
      </c>
      <c r="M24" s="550">
        <v>1123899</v>
      </c>
      <c r="N24" s="343"/>
      <c r="O24" s="316">
        <v>3412570</v>
      </c>
      <c r="P24" s="343">
        <v>0</v>
      </c>
      <c r="Q24" s="700" t="s">
        <v>295</v>
      </c>
    </row>
    <row r="25" spans="1:17" ht="71.25" customHeight="1">
      <c r="A25" s="453"/>
      <c r="B25" s="454"/>
      <c r="C25" s="501" t="s">
        <v>107</v>
      </c>
      <c r="D25" s="505"/>
      <c r="E25" s="399">
        <v>5500000</v>
      </c>
      <c r="F25" s="424"/>
      <c r="G25" s="424"/>
      <c r="H25" s="399">
        <v>70000</v>
      </c>
      <c r="I25" s="506">
        <v>70000</v>
      </c>
      <c r="J25" s="506">
        <v>0</v>
      </c>
      <c r="K25" s="434"/>
      <c r="L25" s="427">
        <v>0</v>
      </c>
      <c r="M25" s="500">
        <v>0</v>
      </c>
      <c r="N25" s="429"/>
      <c r="O25" s="399">
        <v>1800000</v>
      </c>
      <c r="P25" s="399">
        <v>3630000</v>
      </c>
      <c r="Q25" s="701"/>
    </row>
    <row r="26" spans="1:17" s="57" customFormat="1" ht="18" customHeight="1">
      <c r="A26" s="155">
        <v>801</v>
      </c>
      <c r="B26" s="155">
        <v>80130</v>
      </c>
      <c r="C26" s="84" t="s">
        <v>338</v>
      </c>
      <c r="D26" s="258"/>
      <c r="E26" s="191">
        <f aca="true" t="shared" si="1" ref="E26:J26">SUM(E27)</f>
        <v>3800000</v>
      </c>
      <c r="F26" s="191">
        <f t="shared" si="1"/>
        <v>0</v>
      </c>
      <c r="G26" s="191">
        <f t="shared" si="1"/>
        <v>0</v>
      </c>
      <c r="H26" s="191">
        <f t="shared" si="1"/>
        <v>1500000</v>
      </c>
      <c r="I26" s="191">
        <f t="shared" si="1"/>
        <v>1500000</v>
      </c>
      <c r="J26" s="191">
        <f t="shared" si="1"/>
        <v>0</v>
      </c>
      <c r="K26" s="678">
        <v>0</v>
      </c>
      <c r="L26" s="679"/>
      <c r="M26" s="191">
        <v>0</v>
      </c>
      <c r="N26" s="191" t="e">
        <f>SUM(#REF!)</f>
        <v>#REF!</v>
      </c>
      <c r="O26" s="191">
        <f>SUM(O27)</f>
        <v>1466560</v>
      </c>
      <c r="P26" s="191">
        <v>0</v>
      </c>
      <c r="Q26" s="84"/>
    </row>
    <row r="27" spans="1:17" ht="56.25" customHeight="1">
      <c r="A27" s="507"/>
      <c r="B27" s="508"/>
      <c r="C27" s="501" t="s">
        <v>45</v>
      </c>
      <c r="D27" s="505"/>
      <c r="E27" s="399">
        <v>3800000</v>
      </c>
      <c r="F27" s="424"/>
      <c r="G27" s="424"/>
      <c r="H27" s="434">
        <f>SUM(I27:M27)</f>
        <v>1500000</v>
      </c>
      <c r="I27" s="506">
        <v>1500000</v>
      </c>
      <c r="J27" s="506">
        <v>0</v>
      </c>
      <c r="K27" s="426"/>
      <c r="L27" s="434">
        <v>0</v>
      </c>
      <c r="M27" s="500">
        <v>0</v>
      </c>
      <c r="N27" s="429"/>
      <c r="O27" s="399">
        <v>1466560</v>
      </c>
      <c r="P27" s="399">
        <v>0</v>
      </c>
      <c r="Q27" s="388" t="s">
        <v>48</v>
      </c>
    </row>
    <row r="28" spans="1:17" ht="12.75">
      <c r="A28" s="680" t="s">
        <v>180</v>
      </c>
      <c r="B28" s="681"/>
      <c r="C28" s="670"/>
      <c r="D28" s="671"/>
      <c r="E28" s="325">
        <f aca="true" t="shared" si="2" ref="E28:J28">SUM(E26,E14)</f>
        <v>47444730</v>
      </c>
      <c r="F28" s="325">
        <f t="shared" si="2"/>
        <v>0</v>
      </c>
      <c r="G28" s="325">
        <f t="shared" si="2"/>
        <v>0</v>
      </c>
      <c r="H28" s="325">
        <f t="shared" si="2"/>
        <v>14327845</v>
      </c>
      <c r="I28" s="325">
        <f t="shared" si="2"/>
        <v>2797685</v>
      </c>
      <c r="J28" s="325">
        <f t="shared" si="2"/>
        <v>0</v>
      </c>
      <c r="K28" s="672">
        <f>SUM(L14)</f>
        <v>3323210</v>
      </c>
      <c r="L28" s="673"/>
      <c r="M28" s="452">
        <f>SUM(M26,M14)</f>
        <v>8206950</v>
      </c>
      <c r="N28" s="452" t="e">
        <f>SUM(N26,N14)</f>
        <v>#REF!</v>
      </c>
      <c r="O28" s="452">
        <f>SUM(O26,O14)</f>
        <v>13580505</v>
      </c>
      <c r="P28" s="452">
        <f>SUM(P26,P14)</f>
        <v>13566498</v>
      </c>
      <c r="Q28" s="188" t="s">
        <v>383</v>
      </c>
    </row>
    <row r="29" spans="1:17" ht="21.75" customHeight="1">
      <c r="A29" s="674" t="s">
        <v>146</v>
      </c>
      <c r="B29" s="675"/>
      <c r="C29" s="675"/>
      <c r="D29" s="654"/>
      <c r="E29" s="325">
        <f aca="true" t="shared" si="3" ref="E29:J29">SUM(E28)</f>
        <v>47444730</v>
      </c>
      <c r="F29" s="325">
        <f t="shared" si="3"/>
        <v>0</v>
      </c>
      <c r="G29" s="325">
        <f t="shared" si="3"/>
        <v>0</v>
      </c>
      <c r="H29" s="325">
        <f t="shared" si="3"/>
        <v>14327845</v>
      </c>
      <c r="I29" s="325">
        <f t="shared" si="3"/>
        <v>2797685</v>
      </c>
      <c r="J29" s="325">
        <f t="shared" si="3"/>
        <v>0</v>
      </c>
      <c r="K29" s="672">
        <f>SUM(K28)</f>
        <v>3323210</v>
      </c>
      <c r="L29" s="673"/>
      <c r="M29" s="325">
        <f>SUM(M28)</f>
        <v>8206950</v>
      </c>
      <c r="N29" s="325" t="e">
        <f>SUM(N28)</f>
        <v>#REF!</v>
      </c>
      <c r="O29" s="325">
        <f>SUM(O28)</f>
        <v>13580505</v>
      </c>
      <c r="P29" s="325">
        <f>SUM(P28)</f>
        <v>13566498</v>
      </c>
      <c r="Q29" s="188" t="s">
        <v>383</v>
      </c>
    </row>
    <row r="31" ht="12.75">
      <c r="A31" s="46" t="s">
        <v>64</v>
      </c>
    </row>
  </sheetData>
  <mergeCells count="53">
    <mergeCell ref="H15:H17"/>
    <mergeCell ref="I15:I17"/>
    <mergeCell ref="J15:J17"/>
    <mergeCell ref="D15:D17"/>
    <mergeCell ref="E15:E17"/>
    <mergeCell ref="F15:F17"/>
    <mergeCell ref="G15:G17"/>
    <mergeCell ref="K26:L26"/>
    <mergeCell ref="A28:D28"/>
    <mergeCell ref="K28:L28"/>
    <mergeCell ref="A29:D29"/>
    <mergeCell ref="K29:L29"/>
    <mergeCell ref="P15:P17"/>
    <mergeCell ref="O18:O20"/>
    <mergeCell ref="P18:P20"/>
    <mergeCell ref="Q15:Q23"/>
    <mergeCell ref="K13:L13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45"/>
  <sheetViews>
    <sheetView workbookViewId="0" topLeftCell="A1">
      <selection activeCell="P16" sqref="P16"/>
    </sheetView>
  </sheetViews>
  <sheetFormatPr defaultColWidth="9.00390625" defaultRowHeight="12.75"/>
  <cols>
    <col min="1" max="1" width="5.00390625" style="46" customWidth="1"/>
    <col min="2" max="2" width="6.75390625" style="46" customWidth="1"/>
    <col min="3" max="3" width="31.00390625" style="46" customWidth="1"/>
    <col min="4" max="4" width="8.00390625" style="52" hidden="1" customWidth="1"/>
    <col min="5" max="5" width="10.75390625" style="46" customWidth="1"/>
    <col min="6" max="6" width="11.625" style="46" hidden="1" customWidth="1"/>
    <col min="7" max="7" width="12.125" style="46" hidden="1" customWidth="1"/>
    <col min="8" max="8" width="10.25390625" style="50" customWidth="1"/>
    <col min="9" max="9" width="9.125" style="46" customWidth="1"/>
    <col min="10" max="10" width="9.625" style="46" customWidth="1"/>
    <col min="11" max="11" width="2.875" style="46" customWidth="1"/>
    <col min="12" max="12" width="11.375" style="46" customWidth="1"/>
    <col min="13" max="13" width="14.375" style="46" customWidth="1"/>
    <col min="14" max="14" width="10.00390625" style="46" hidden="1" customWidth="1"/>
    <col min="15" max="15" width="16.375" style="46" customWidth="1"/>
    <col min="16" max="16384" width="9.125" style="46" customWidth="1"/>
  </cols>
  <sheetData>
    <row r="1" spans="13:15" ht="16.5" customHeight="1">
      <c r="M1" s="48"/>
      <c r="N1" s="48"/>
      <c r="O1" s="35" t="s">
        <v>542</v>
      </c>
    </row>
    <row r="2" spans="13:15" ht="15" customHeight="1">
      <c r="M2" s="47"/>
      <c r="N2" s="47"/>
      <c r="O2" s="47" t="s">
        <v>582</v>
      </c>
    </row>
    <row r="3" spans="13:15" ht="12" customHeight="1">
      <c r="M3" s="47"/>
      <c r="N3" s="47"/>
      <c r="O3" s="47" t="s">
        <v>337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57" customFormat="1" ht="5.25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</row>
    <row r="8" spans="1:15" s="57" customFormat="1" ht="17.25" customHeight="1">
      <c r="A8" s="714" t="s">
        <v>26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</row>
    <row r="9" ht="13.5" customHeight="1">
      <c r="O9" s="58" t="s">
        <v>271</v>
      </c>
    </row>
    <row r="10" spans="1:15" s="30" customFormat="1" ht="12.75">
      <c r="A10" s="715" t="s">
        <v>207</v>
      </c>
      <c r="B10" s="715" t="s">
        <v>208</v>
      </c>
      <c r="C10" s="715" t="s">
        <v>563</v>
      </c>
      <c r="D10" s="715" t="s">
        <v>362</v>
      </c>
      <c r="E10" s="715" t="s">
        <v>133</v>
      </c>
      <c r="F10" s="715" t="s">
        <v>363</v>
      </c>
      <c r="G10" s="715" t="s">
        <v>364</v>
      </c>
      <c r="H10" s="718" t="s">
        <v>139</v>
      </c>
      <c r="I10" s="649"/>
      <c r="J10" s="649"/>
      <c r="K10" s="649"/>
      <c r="L10" s="649"/>
      <c r="M10" s="649"/>
      <c r="N10" s="649"/>
      <c r="O10" s="715" t="s">
        <v>68</v>
      </c>
    </row>
    <row r="11" spans="1:15" s="59" customFormat="1" ht="12.75" customHeight="1">
      <c r="A11" s="716"/>
      <c r="B11" s="716"/>
      <c r="C11" s="716"/>
      <c r="D11" s="717"/>
      <c r="E11" s="716"/>
      <c r="F11" s="716"/>
      <c r="G11" s="716"/>
      <c r="H11" s="715" t="s">
        <v>42</v>
      </c>
      <c r="I11" s="715" t="s">
        <v>140</v>
      </c>
      <c r="J11" s="646"/>
      <c r="K11" s="646"/>
      <c r="L11" s="646"/>
      <c r="M11" s="646"/>
      <c r="N11" s="715" t="s">
        <v>365</v>
      </c>
      <c r="O11" s="717"/>
    </row>
    <row r="12" spans="1:15" s="59" customFormat="1" ht="48">
      <c r="A12" s="716"/>
      <c r="B12" s="716"/>
      <c r="C12" s="716"/>
      <c r="D12" s="717"/>
      <c r="E12" s="716"/>
      <c r="F12" s="716"/>
      <c r="G12" s="716"/>
      <c r="H12" s="715"/>
      <c r="I12" s="157" t="s">
        <v>136</v>
      </c>
      <c r="J12" s="157" t="s">
        <v>366</v>
      </c>
      <c r="K12" s="647" t="s">
        <v>434</v>
      </c>
      <c r="L12" s="648"/>
      <c r="M12" s="157" t="s">
        <v>138</v>
      </c>
      <c r="N12" s="715"/>
      <c r="O12" s="717"/>
    </row>
    <row r="13" spans="1:15" s="59" customFormat="1" ht="12.75">
      <c r="A13" s="75" t="s">
        <v>215</v>
      </c>
      <c r="B13" s="75" t="s">
        <v>216</v>
      </c>
      <c r="C13" s="75" t="s">
        <v>217</v>
      </c>
      <c r="D13" s="75" t="s">
        <v>206</v>
      </c>
      <c r="E13" s="75" t="s">
        <v>206</v>
      </c>
      <c r="F13" s="75" t="s">
        <v>221</v>
      </c>
      <c r="G13" s="75" t="s">
        <v>225</v>
      </c>
      <c r="H13" s="75" t="s">
        <v>221</v>
      </c>
      <c r="I13" s="75" t="s">
        <v>225</v>
      </c>
      <c r="J13" s="75" t="s">
        <v>235</v>
      </c>
      <c r="K13" s="696" t="s">
        <v>244</v>
      </c>
      <c r="L13" s="682"/>
      <c r="M13" s="75" t="s">
        <v>300</v>
      </c>
      <c r="N13" s="75" t="s">
        <v>302</v>
      </c>
      <c r="O13" s="75" t="s">
        <v>135</v>
      </c>
    </row>
    <row r="14" spans="1:15" s="51" customFormat="1" ht="12.75">
      <c r="A14" s="435">
        <v>600</v>
      </c>
      <c r="B14" s="435">
        <v>60014</v>
      </c>
      <c r="C14" s="84" t="s">
        <v>311</v>
      </c>
      <c r="D14" s="258"/>
      <c r="E14" s="191">
        <f aca="true" t="shared" si="0" ref="E14:J14">SUM(E16:E20)</f>
        <v>3678792</v>
      </c>
      <c r="F14" s="191">
        <f t="shared" si="0"/>
        <v>0</v>
      </c>
      <c r="G14" s="191">
        <f t="shared" si="0"/>
        <v>0</v>
      </c>
      <c r="H14" s="191">
        <f t="shared" si="0"/>
        <v>3678792</v>
      </c>
      <c r="I14" s="191">
        <f t="shared" si="0"/>
        <v>935542</v>
      </c>
      <c r="J14" s="191">
        <f t="shared" si="0"/>
        <v>0</v>
      </c>
      <c r="K14" s="678">
        <f>SUM(L16:L19)</f>
        <v>2743250</v>
      </c>
      <c r="L14" s="679"/>
      <c r="M14" s="191">
        <f>SUM(M15:M15)</f>
        <v>0</v>
      </c>
      <c r="N14" s="191">
        <f>SUM(N15:N15)</f>
        <v>0</v>
      </c>
      <c r="O14" s="84"/>
    </row>
    <row r="15" spans="1:15" s="51" customFormat="1" ht="7.5" customHeight="1" hidden="1">
      <c r="A15" s="436"/>
      <c r="B15" s="437"/>
      <c r="C15" s="405"/>
      <c r="D15" s="389"/>
      <c r="E15" s="429"/>
      <c r="F15" s="429"/>
      <c r="G15" s="429"/>
      <c r="H15" s="429"/>
      <c r="I15" s="429"/>
      <c r="J15" s="429"/>
      <c r="K15" s="707"/>
      <c r="L15" s="645"/>
      <c r="M15" s="429"/>
      <c r="N15" s="429"/>
      <c r="O15" s="389"/>
    </row>
    <row r="16" spans="1:15" s="51" customFormat="1" ht="19.5" customHeight="1">
      <c r="A16" s="436"/>
      <c r="B16" s="437"/>
      <c r="C16" s="665" t="s">
        <v>441</v>
      </c>
      <c r="D16" s="389"/>
      <c r="E16" s="666">
        <v>2730000</v>
      </c>
      <c r="F16" s="317"/>
      <c r="G16" s="317"/>
      <c r="H16" s="664">
        <f>SUM(I16,L16,L17)</f>
        <v>2730000</v>
      </c>
      <c r="I16" s="664">
        <v>682500</v>
      </c>
      <c r="J16" s="664">
        <v>0</v>
      </c>
      <c r="K16" s="317" t="s">
        <v>44</v>
      </c>
      <c r="L16" s="317">
        <v>682500</v>
      </c>
      <c r="M16" s="666">
        <v>0</v>
      </c>
      <c r="N16" s="399"/>
      <c r="O16" s="667" t="s">
        <v>367</v>
      </c>
    </row>
    <row r="17" spans="1:15" s="51" customFormat="1" ht="26.25" customHeight="1">
      <c r="A17" s="436"/>
      <c r="B17" s="437"/>
      <c r="C17" s="665"/>
      <c r="D17" s="389"/>
      <c r="E17" s="666"/>
      <c r="F17" s="317"/>
      <c r="G17" s="317"/>
      <c r="H17" s="664"/>
      <c r="I17" s="664"/>
      <c r="J17" s="664"/>
      <c r="K17" s="317" t="s">
        <v>453</v>
      </c>
      <c r="L17" s="317">
        <v>1365000</v>
      </c>
      <c r="M17" s="666"/>
      <c r="N17" s="399"/>
      <c r="O17" s="668"/>
    </row>
    <row r="18" spans="1:15" s="51" customFormat="1" ht="19.5" customHeight="1">
      <c r="A18" s="436"/>
      <c r="B18" s="437"/>
      <c r="C18" s="665" t="s">
        <v>442</v>
      </c>
      <c r="D18" s="389"/>
      <c r="E18" s="666">
        <v>927750</v>
      </c>
      <c r="F18" s="317"/>
      <c r="G18" s="317"/>
      <c r="H18" s="664">
        <f>SUM(I18,L18,L19)</f>
        <v>927750</v>
      </c>
      <c r="I18" s="664">
        <v>232000</v>
      </c>
      <c r="J18" s="664">
        <v>0</v>
      </c>
      <c r="K18" s="317" t="s">
        <v>44</v>
      </c>
      <c r="L18" s="317">
        <v>232000</v>
      </c>
      <c r="M18" s="666">
        <v>0</v>
      </c>
      <c r="N18" s="399"/>
      <c r="O18" s="668"/>
    </row>
    <row r="19" spans="1:15" s="51" customFormat="1" ht="19.5" customHeight="1">
      <c r="A19" s="436"/>
      <c r="B19" s="437"/>
      <c r="C19" s="665"/>
      <c r="D19" s="389"/>
      <c r="E19" s="666"/>
      <c r="F19" s="317"/>
      <c r="G19" s="317"/>
      <c r="H19" s="664"/>
      <c r="I19" s="664"/>
      <c r="J19" s="664"/>
      <c r="K19" s="317" t="s">
        <v>453</v>
      </c>
      <c r="L19" s="317">
        <v>463750</v>
      </c>
      <c r="M19" s="666"/>
      <c r="N19" s="399"/>
      <c r="O19" s="668"/>
    </row>
    <row r="20" spans="1:15" s="51" customFormat="1" ht="13.5" customHeight="1">
      <c r="A20" s="436"/>
      <c r="B20" s="437"/>
      <c r="C20" s="446" t="s">
        <v>112</v>
      </c>
      <c r="D20" s="389"/>
      <c r="E20" s="316">
        <v>21042</v>
      </c>
      <c r="F20" s="316"/>
      <c r="G20" s="316"/>
      <c r="H20" s="316">
        <v>21042</v>
      </c>
      <c r="I20" s="316">
        <v>21042</v>
      </c>
      <c r="J20" s="316">
        <v>0</v>
      </c>
      <c r="K20" s="317"/>
      <c r="L20" s="317">
        <v>0</v>
      </c>
      <c r="M20" s="316">
        <v>0</v>
      </c>
      <c r="N20" s="399"/>
      <c r="O20" s="669"/>
    </row>
    <row r="21" spans="1:15" s="72" customFormat="1" ht="12.75">
      <c r="A21" s="258">
        <v>750</v>
      </c>
      <c r="B21" s="258">
        <v>75020</v>
      </c>
      <c r="C21" s="84" t="s">
        <v>326</v>
      </c>
      <c r="D21" s="258"/>
      <c r="E21" s="191">
        <f aca="true" t="shared" si="1" ref="E21:J21">SUM(E22:E30)</f>
        <v>445500</v>
      </c>
      <c r="F21" s="191">
        <f t="shared" si="1"/>
        <v>445500</v>
      </c>
      <c r="G21" s="191">
        <f t="shared" si="1"/>
        <v>445500</v>
      </c>
      <c r="H21" s="191">
        <f t="shared" si="1"/>
        <v>445500</v>
      </c>
      <c r="I21" s="191">
        <f t="shared" si="1"/>
        <v>445500</v>
      </c>
      <c r="J21" s="191">
        <f t="shared" si="1"/>
        <v>0</v>
      </c>
      <c r="K21" s="678">
        <v>0</v>
      </c>
      <c r="L21" s="679"/>
      <c r="M21" s="191">
        <f>SUM(M22:M30)</f>
        <v>0</v>
      </c>
      <c r="N21" s="191" t="e">
        <f>SUM(#REF!)</f>
        <v>#REF!</v>
      </c>
      <c r="O21" s="258"/>
    </row>
    <row r="22" spans="1:15" s="59" customFormat="1" ht="12.75">
      <c r="A22" s="117"/>
      <c r="B22" s="113"/>
      <c r="C22" s="430" t="s">
        <v>31</v>
      </c>
      <c r="D22" s="389"/>
      <c r="E22" s="316">
        <v>60000</v>
      </c>
      <c r="F22" s="316">
        <v>60000</v>
      </c>
      <c r="G22" s="316">
        <v>60000</v>
      </c>
      <c r="H22" s="316">
        <v>60000</v>
      </c>
      <c r="I22" s="316">
        <v>60000</v>
      </c>
      <c r="J22" s="316">
        <v>0</v>
      </c>
      <c r="K22" s="643">
        <v>0</v>
      </c>
      <c r="L22" s="644"/>
      <c r="M22" s="317">
        <v>0</v>
      </c>
      <c r="N22" s="424"/>
      <c r="O22" s="658" t="s">
        <v>43</v>
      </c>
    </row>
    <row r="23" spans="1:15" s="59" customFormat="1" ht="12.75">
      <c r="A23" s="117"/>
      <c r="B23" s="113"/>
      <c r="C23" s="430" t="s">
        <v>27</v>
      </c>
      <c r="D23" s="389"/>
      <c r="E23" s="316">
        <v>30000</v>
      </c>
      <c r="F23" s="316">
        <v>30000</v>
      </c>
      <c r="G23" s="316">
        <v>30000</v>
      </c>
      <c r="H23" s="316">
        <v>30000</v>
      </c>
      <c r="I23" s="316">
        <v>30000</v>
      </c>
      <c r="J23" s="316">
        <v>0</v>
      </c>
      <c r="K23" s="643">
        <v>0</v>
      </c>
      <c r="L23" s="644"/>
      <c r="M23" s="317">
        <v>0</v>
      </c>
      <c r="N23" s="424"/>
      <c r="O23" s="658"/>
    </row>
    <row r="24" spans="1:15" s="59" customFormat="1" ht="12.75">
      <c r="A24" s="117"/>
      <c r="B24" s="113"/>
      <c r="C24" s="430" t="s">
        <v>28</v>
      </c>
      <c r="D24" s="389"/>
      <c r="E24" s="316">
        <v>25000</v>
      </c>
      <c r="F24" s="316">
        <v>25000</v>
      </c>
      <c r="G24" s="316">
        <v>25000</v>
      </c>
      <c r="H24" s="316">
        <v>25000</v>
      </c>
      <c r="I24" s="316">
        <v>25000</v>
      </c>
      <c r="J24" s="316">
        <v>0</v>
      </c>
      <c r="K24" s="643">
        <v>0</v>
      </c>
      <c r="L24" s="644"/>
      <c r="M24" s="317">
        <v>0</v>
      </c>
      <c r="N24" s="424"/>
      <c r="O24" s="658"/>
    </row>
    <row r="25" spans="1:15" s="59" customFormat="1" ht="22.5">
      <c r="A25" s="117"/>
      <c r="B25" s="113"/>
      <c r="C25" s="430" t="s">
        <v>58</v>
      </c>
      <c r="D25" s="389"/>
      <c r="E25" s="316">
        <v>85000</v>
      </c>
      <c r="F25" s="316">
        <v>85000</v>
      </c>
      <c r="G25" s="316">
        <v>85000</v>
      </c>
      <c r="H25" s="316">
        <v>85000</v>
      </c>
      <c r="I25" s="316">
        <v>85000</v>
      </c>
      <c r="J25" s="316">
        <v>0</v>
      </c>
      <c r="K25" s="643">
        <v>0</v>
      </c>
      <c r="L25" s="644"/>
      <c r="M25" s="317">
        <v>0</v>
      </c>
      <c r="N25" s="424"/>
      <c r="O25" s="658"/>
    </row>
    <row r="26" spans="1:15" s="59" customFormat="1" ht="33.75">
      <c r="A26" s="117"/>
      <c r="B26" s="113"/>
      <c r="C26" s="430" t="s">
        <v>59</v>
      </c>
      <c r="D26" s="389"/>
      <c r="E26" s="316">
        <v>205000</v>
      </c>
      <c r="F26" s="316">
        <v>205000</v>
      </c>
      <c r="G26" s="316">
        <v>205000</v>
      </c>
      <c r="H26" s="316">
        <v>205000</v>
      </c>
      <c r="I26" s="316">
        <v>205000</v>
      </c>
      <c r="J26" s="316">
        <v>0</v>
      </c>
      <c r="K26" s="643">
        <v>0</v>
      </c>
      <c r="L26" s="644"/>
      <c r="M26" s="317">
        <v>0</v>
      </c>
      <c r="N26" s="424"/>
      <c r="O26" s="658"/>
    </row>
    <row r="27" spans="1:15" s="59" customFormat="1" ht="12.75">
      <c r="A27" s="117"/>
      <c r="B27" s="113"/>
      <c r="C27" s="430" t="s">
        <v>60</v>
      </c>
      <c r="D27" s="389"/>
      <c r="E27" s="316">
        <v>15000</v>
      </c>
      <c r="F27" s="316">
        <v>15000</v>
      </c>
      <c r="G27" s="316">
        <v>15000</v>
      </c>
      <c r="H27" s="316">
        <v>15000</v>
      </c>
      <c r="I27" s="316">
        <v>15000</v>
      </c>
      <c r="J27" s="316">
        <v>0</v>
      </c>
      <c r="K27" s="643">
        <v>0</v>
      </c>
      <c r="L27" s="644"/>
      <c r="M27" s="317">
        <v>0</v>
      </c>
      <c r="N27" s="424"/>
      <c r="O27" s="658"/>
    </row>
    <row r="28" spans="1:15" s="59" customFormat="1" ht="12.75">
      <c r="A28" s="117"/>
      <c r="B28" s="113"/>
      <c r="C28" s="430" t="s">
        <v>29</v>
      </c>
      <c r="D28" s="389"/>
      <c r="E28" s="316">
        <v>9000</v>
      </c>
      <c r="F28" s="316">
        <v>9000</v>
      </c>
      <c r="G28" s="316">
        <v>9000</v>
      </c>
      <c r="H28" s="316">
        <v>9000</v>
      </c>
      <c r="I28" s="316">
        <v>9000</v>
      </c>
      <c r="J28" s="316">
        <v>0</v>
      </c>
      <c r="K28" s="643">
        <v>0</v>
      </c>
      <c r="L28" s="644"/>
      <c r="M28" s="317">
        <v>0</v>
      </c>
      <c r="N28" s="424"/>
      <c r="O28" s="658"/>
    </row>
    <row r="29" spans="1:15" s="59" customFormat="1" ht="12.75">
      <c r="A29" s="117"/>
      <c r="B29" s="113"/>
      <c r="C29" s="430" t="s">
        <v>38</v>
      </c>
      <c r="D29" s="389"/>
      <c r="E29" s="316">
        <f>10000-2500</f>
        <v>7500</v>
      </c>
      <c r="F29" s="316">
        <v>10000</v>
      </c>
      <c r="G29" s="316">
        <v>10000</v>
      </c>
      <c r="H29" s="316">
        <v>7500</v>
      </c>
      <c r="I29" s="316">
        <v>7500</v>
      </c>
      <c r="J29" s="316">
        <v>0</v>
      </c>
      <c r="K29" s="643">
        <v>0</v>
      </c>
      <c r="L29" s="644"/>
      <c r="M29" s="317">
        <v>0</v>
      </c>
      <c r="N29" s="424"/>
      <c r="O29" s="658"/>
    </row>
    <row r="30" spans="1:15" s="59" customFormat="1" ht="12.75">
      <c r="A30" s="448"/>
      <c r="B30" s="449"/>
      <c r="C30" s="430" t="s">
        <v>40</v>
      </c>
      <c r="D30" s="389"/>
      <c r="E30" s="316">
        <f>6500+2500</f>
        <v>9000</v>
      </c>
      <c r="F30" s="316">
        <v>6500</v>
      </c>
      <c r="G30" s="316">
        <v>6500</v>
      </c>
      <c r="H30" s="316">
        <v>9000</v>
      </c>
      <c r="I30" s="316">
        <v>9000</v>
      </c>
      <c r="J30" s="316">
        <v>0</v>
      </c>
      <c r="K30" s="643">
        <v>0</v>
      </c>
      <c r="L30" s="644"/>
      <c r="M30" s="317">
        <v>0</v>
      </c>
      <c r="N30" s="424"/>
      <c r="O30" s="659"/>
    </row>
    <row r="31" spans="1:15" s="59" customFormat="1" ht="28.5" customHeight="1">
      <c r="A31" s="258">
        <v>754</v>
      </c>
      <c r="B31" s="258">
        <v>75411</v>
      </c>
      <c r="C31" s="450" t="s">
        <v>332</v>
      </c>
      <c r="D31" s="385"/>
      <c r="E31" s="398">
        <f>SUM(E32:E32)</f>
        <v>730000</v>
      </c>
      <c r="F31" s="398">
        <f>SUM(F33:F33)</f>
        <v>0</v>
      </c>
      <c r="G31" s="398">
        <f>SUM(G33:G33)</f>
        <v>0</v>
      </c>
      <c r="H31" s="398">
        <f>SUM(H32:H32)</f>
        <v>730000</v>
      </c>
      <c r="I31" s="191">
        <f>SUM(I32:I32)</f>
        <v>180000</v>
      </c>
      <c r="J31" s="191">
        <f>SUM(J32)</f>
        <v>0</v>
      </c>
      <c r="K31" s="402"/>
      <c r="L31" s="398">
        <f>SUM(L32:L33)</f>
        <v>550000</v>
      </c>
      <c r="M31" s="191">
        <f>SUM(M32)</f>
        <v>0</v>
      </c>
      <c r="N31" s="191">
        <f>SUM(N33)</f>
        <v>0</v>
      </c>
      <c r="O31" s="657" t="s">
        <v>562</v>
      </c>
    </row>
    <row r="32" spans="1:15" s="59" customFormat="1" ht="28.5" customHeight="1">
      <c r="A32" s="662"/>
      <c r="B32" s="662"/>
      <c r="C32" s="660" t="s">
        <v>61</v>
      </c>
      <c r="D32" s="385"/>
      <c r="E32" s="702">
        <v>730000</v>
      </c>
      <c r="F32" s="398"/>
      <c r="G32" s="398"/>
      <c r="H32" s="702">
        <f>SUM(I32,L32:L33)</f>
        <v>730000</v>
      </c>
      <c r="I32" s="702">
        <v>180000</v>
      </c>
      <c r="J32" s="702">
        <v>0</v>
      </c>
      <c r="K32" s="618" t="s">
        <v>44</v>
      </c>
      <c r="L32" s="619">
        <f>50000+100000</f>
        <v>150000</v>
      </c>
      <c r="M32" s="655">
        <v>0</v>
      </c>
      <c r="N32" s="617"/>
      <c r="O32" s="658"/>
    </row>
    <row r="33" spans="1:15" s="59" customFormat="1" ht="14.25">
      <c r="A33" s="663"/>
      <c r="B33" s="663"/>
      <c r="C33" s="661"/>
      <c r="D33" s="439"/>
      <c r="E33" s="704"/>
      <c r="F33" s="316"/>
      <c r="G33" s="316"/>
      <c r="H33" s="704"/>
      <c r="I33" s="704"/>
      <c r="J33" s="704"/>
      <c r="K33" s="190" t="s">
        <v>453</v>
      </c>
      <c r="L33" s="316">
        <v>400000</v>
      </c>
      <c r="M33" s="656"/>
      <c r="N33" s="400"/>
      <c r="O33" s="659"/>
    </row>
    <row r="34" spans="1:15" s="72" customFormat="1" ht="25.5">
      <c r="A34" s="258">
        <v>754</v>
      </c>
      <c r="B34" s="423">
        <v>75414</v>
      </c>
      <c r="C34" s="450" t="s">
        <v>332</v>
      </c>
      <c r="D34" s="258"/>
      <c r="E34" s="191">
        <f aca="true" t="shared" si="2" ref="E34:J36">SUM(E35)</f>
        <v>10000</v>
      </c>
      <c r="F34" s="191">
        <f t="shared" si="2"/>
        <v>0</v>
      </c>
      <c r="G34" s="191">
        <f t="shared" si="2"/>
        <v>0</v>
      </c>
      <c r="H34" s="191">
        <f t="shared" si="2"/>
        <v>10000</v>
      </c>
      <c r="I34" s="191">
        <f t="shared" si="2"/>
        <v>10000</v>
      </c>
      <c r="J34" s="191">
        <f t="shared" si="2"/>
        <v>0</v>
      </c>
      <c r="K34" s="643">
        <v>0</v>
      </c>
      <c r="L34" s="644"/>
      <c r="M34" s="191">
        <f>SUM(M35)</f>
        <v>0</v>
      </c>
      <c r="N34" s="191">
        <f>SUM(N35)</f>
        <v>0</v>
      </c>
      <c r="O34" s="157"/>
    </row>
    <row r="35" spans="1:15" s="72" customFormat="1" ht="24">
      <c r="A35" s="404"/>
      <c r="B35" s="423"/>
      <c r="C35" s="430" t="s">
        <v>30</v>
      </c>
      <c r="D35" s="385"/>
      <c r="E35" s="316">
        <v>10000</v>
      </c>
      <c r="F35" s="316"/>
      <c r="G35" s="316"/>
      <c r="H35" s="316">
        <v>10000</v>
      </c>
      <c r="I35" s="316">
        <v>10000</v>
      </c>
      <c r="J35" s="316">
        <v>0</v>
      </c>
      <c r="K35" s="643">
        <v>0</v>
      </c>
      <c r="L35" s="644"/>
      <c r="M35" s="317">
        <v>0</v>
      </c>
      <c r="N35" s="316"/>
      <c r="O35" s="443" t="s">
        <v>39</v>
      </c>
    </row>
    <row r="36" spans="1:15" s="72" customFormat="1" ht="12.75">
      <c r="A36" s="404">
        <v>801</v>
      </c>
      <c r="B36" s="404">
        <v>80130</v>
      </c>
      <c r="C36" s="87" t="s">
        <v>338</v>
      </c>
      <c r="D36" s="258"/>
      <c r="E36" s="191">
        <f t="shared" si="2"/>
        <v>7000</v>
      </c>
      <c r="F36" s="191">
        <f t="shared" si="2"/>
        <v>0</v>
      </c>
      <c r="G36" s="191">
        <f t="shared" si="2"/>
        <v>0</v>
      </c>
      <c r="H36" s="191">
        <f t="shared" si="2"/>
        <v>7000</v>
      </c>
      <c r="I36" s="191">
        <f t="shared" si="2"/>
        <v>7000</v>
      </c>
      <c r="J36" s="191">
        <f t="shared" si="2"/>
        <v>0</v>
      </c>
      <c r="K36" s="643">
        <v>0</v>
      </c>
      <c r="L36" s="644"/>
      <c r="M36" s="191">
        <f>SUM(M37)</f>
        <v>0</v>
      </c>
      <c r="N36" s="191">
        <f>SUM(N37)</f>
        <v>0</v>
      </c>
      <c r="O36" s="447"/>
    </row>
    <row r="37" spans="1:15" s="72" customFormat="1" ht="12.75">
      <c r="A37" s="401"/>
      <c r="B37" s="156"/>
      <c r="C37" s="428" t="s">
        <v>113</v>
      </c>
      <c r="D37" s="385"/>
      <c r="E37" s="316">
        <v>7000</v>
      </c>
      <c r="F37" s="316"/>
      <c r="G37" s="316"/>
      <c r="H37" s="316">
        <v>7000</v>
      </c>
      <c r="I37" s="316">
        <v>7000</v>
      </c>
      <c r="J37" s="316">
        <v>0</v>
      </c>
      <c r="K37" s="643">
        <v>0</v>
      </c>
      <c r="L37" s="644"/>
      <c r="M37" s="317">
        <v>0</v>
      </c>
      <c r="N37" s="316"/>
      <c r="O37" s="443" t="s">
        <v>114</v>
      </c>
    </row>
    <row r="38" spans="1:15" s="72" customFormat="1" ht="12.75">
      <c r="A38" s="258">
        <v>853</v>
      </c>
      <c r="B38" s="258">
        <v>85333</v>
      </c>
      <c r="C38" s="84" t="s">
        <v>32</v>
      </c>
      <c r="D38" s="258"/>
      <c r="E38" s="191">
        <f aca="true" t="shared" si="3" ref="E38:J38">SUM(E39:E40)</f>
        <v>14000</v>
      </c>
      <c r="F38" s="191">
        <f t="shared" si="3"/>
        <v>0</v>
      </c>
      <c r="G38" s="191">
        <f t="shared" si="3"/>
        <v>0</v>
      </c>
      <c r="H38" s="191">
        <f t="shared" si="3"/>
        <v>14000</v>
      </c>
      <c r="I38" s="191">
        <f t="shared" si="3"/>
        <v>14000</v>
      </c>
      <c r="J38" s="191">
        <f t="shared" si="3"/>
        <v>0</v>
      </c>
      <c r="K38" s="643">
        <v>0</v>
      </c>
      <c r="L38" s="644"/>
      <c r="M38" s="191">
        <f>SUM(M39)</f>
        <v>0</v>
      </c>
      <c r="N38" s="191">
        <f>SUM(N39)</f>
        <v>0</v>
      </c>
      <c r="O38" s="447"/>
    </row>
    <row r="39" spans="1:15" s="72" customFormat="1" ht="12.75">
      <c r="A39" s="401"/>
      <c r="B39" s="156"/>
      <c r="C39" s="438" t="s">
        <v>113</v>
      </c>
      <c r="D39" s="385"/>
      <c r="E39" s="316">
        <v>8000</v>
      </c>
      <c r="F39" s="316"/>
      <c r="G39" s="316"/>
      <c r="H39" s="316">
        <v>8000</v>
      </c>
      <c r="I39" s="316">
        <v>8000</v>
      </c>
      <c r="J39" s="316">
        <v>0</v>
      </c>
      <c r="K39" s="643">
        <v>0</v>
      </c>
      <c r="L39" s="644"/>
      <c r="M39" s="317">
        <v>0</v>
      </c>
      <c r="N39" s="316"/>
      <c r="O39" s="657" t="s">
        <v>33</v>
      </c>
    </row>
    <row r="40" spans="1:15" s="72" customFormat="1" ht="12.75">
      <c r="A40" s="425"/>
      <c r="B40" s="404"/>
      <c r="C40" s="440" t="s">
        <v>62</v>
      </c>
      <c r="D40" s="441"/>
      <c r="E40" s="316">
        <v>6000</v>
      </c>
      <c r="F40" s="316"/>
      <c r="G40" s="316"/>
      <c r="H40" s="316">
        <v>6000</v>
      </c>
      <c r="I40" s="316">
        <v>6000</v>
      </c>
      <c r="J40" s="316">
        <v>0</v>
      </c>
      <c r="K40" s="643">
        <v>0</v>
      </c>
      <c r="L40" s="644"/>
      <c r="M40" s="317">
        <v>0</v>
      </c>
      <c r="N40" s="316"/>
      <c r="O40" s="659"/>
    </row>
    <row r="41" spans="1:15" s="85" customFormat="1" ht="22.5" customHeight="1">
      <c r="A41" s="680" t="s">
        <v>180</v>
      </c>
      <c r="B41" s="681"/>
      <c r="C41" s="670"/>
      <c r="D41" s="671"/>
      <c r="E41" s="325">
        <f aca="true" t="shared" si="4" ref="E41:J41">SUM(E38,E36,E34,E31,E21,E14)</f>
        <v>4885292</v>
      </c>
      <c r="F41" s="325">
        <f t="shared" si="4"/>
        <v>445500</v>
      </c>
      <c r="G41" s="325">
        <f t="shared" si="4"/>
        <v>445500</v>
      </c>
      <c r="H41" s="325">
        <f t="shared" si="4"/>
        <v>4885292</v>
      </c>
      <c r="I41" s="325">
        <f t="shared" si="4"/>
        <v>1592042</v>
      </c>
      <c r="J41" s="325">
        <f t="shared" si="4"/>
        <v>0</v>
      </c>
      <c r="K41" s="678">
        <f>SUM(L31,K14)</f>
        <v>3293250</v>
      </c>
      <c r="L41" s="679"/>
      <c r="M41" s="325">
        <v>0</v>
      </c>
      <c r="N41" s="325" t="e">
        <f>SUM(N38,N31,N21,#REF!,N14)</f>
        <v>#REF!</v>
      </c>
      <c r="O41" s="188" t="s">
        <v>383</v>
      </c>
    </row>
    <row r="43" ht="12.75">
      <c r="A43" s="46" t="s">
        <v>65</v>
      </c>
    </row>
    <row r="44" ht="12.75">
      <c r="A44" s="46" t="s">
        <v>66</v>
      </c>
    </row>
    <row r="45" ht="12.75">
      <c r="A45" s="46" t="s">
        <v>67</v>
      </c>
    </row>
  </sheetData>
  <mergeCells count="61"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H11:H12"/>
    <mergeCell ref="I11:M11"/>
    <mergeCell ref="N11:N12"/>
    <mergeCell ref="K12:L12"/>
    <mergeCell ref="K15:L15"/>
    <mergeCell ref="K13:L13"/>
    <mergeCell ref="K14:L14"/>
    <mergeCell ref="O10:O12"/>
    <mergeCell ref="K21:L21"/>
    <mergeCell ref="K22:L22"/>
    <mergeCell ref="K23:L23"/>
    <mergeCell ref="K24:L24"/>
    <mergeCell ref="O22:O30"/>
    <mergeCell ref="K25:L25"/>
    <mergeCell ref="K26:L26"/>
    <mergeCell ref="K27:L27"/>
    <mergeCell ref="K28:L28"/>
    <mergeCell ref="K39:L39"/>
    <mergeCell ref="A41:D41"/>
    <mergeCell ref="K41:L41"/>
    <mergeCell ref="K29:L29"/>
    <mergeCell ref="K30:L30"/>
    <mergeCell ref="K40:L40"/>
    <mergeCell ref="K35:L35"/>
    <mergeCell ref="A32:A33"/>
    <mergeCell ref="I32:I33"/>
    <mergeCell ref="J32:J33"/>
    <mergeCell ref="O39:O40"/>
    <mergeCell ref="M16:M17"/>
    <mergeCell ref="I18:I19"/>
    <mergeCell ref="J18:J19"/>
    <mergeCell ref="M18:M19"/>
    <mergeCell ref="O16:O20"/>
    <mergeCell ref="K36:L36"/>
    <mergeCell ref="K37:L37"/>
    <mergeCell ref="K38:L38"/>
    <mergeCell ref="K34:L34"/>
    <mergeCell ref="J16:J17"/>
    <mergeCell ref="C18:C19"/>
    <mergeCell ref="E18:E19"/>
    <mergeCell ref="H18:H19"/>
    <mergeCell ref="C16:C17"/>
    <mergeCell ref="E16:E17"/>
    <mergeCell ref="H16:H17"/>
    <mergeCell ref="I16:I17"/>
    <mergeCell ref="M32:M33"/>
    <mergeCell ref="O31:O33"/>
    <mergeCell ref="C32:C33"/>
    <mergeCell ref="B32:B33"/>
    <mergeCell ref="E32:E33"/>
    <mergeCell ref="H32:H33"/>
  </mergeCells>
  <printOptions/>
  <pageMargins left="1.12" right="0.2" top="1.52" bottom="0.62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R169"/>
  <sheetViews>
    <sheetView workbookViewId="0" topLeftCell="C1">
      <selection activeCell="S16" sqref="S16"/>
    </sheetView>
  </sheetViews>
  <sheetFormatPr defaultColWidth="9.00390625" defaultRowHeight="12.75"/>
  <cols>
    <col min="1" max="1" width="3.625" style="88" bestFit="1" customWidth="1"/>
    <col min="2" max="2" width="19.125" style="88" customWidth="1"/>
    <col min="3" max="3" width="11.125" style="88" customWidth="1"/>
    <col min="4" max="4" width="9.375" style="88" customWidth="1"/>
    <col min="5" max="5" width="10.25390625" style="88" customWidth="1"/>
    <col min="6" max="6" width="8.375" style="88" customWidth="1"/>
    <col min="7" max="7" width="8.625" style="88" customWidth="1"/>
    <col min="8" max="8" width="8.375" style="88" customWidth="1"/>
    <col min="9" max="9" width="8.75390625" style="88" customWidth="1"/>
    <col min="10" max="10" width="8.00390625" style="88" customWidth="1"/>
    <col min="11" max="11" width="7.00390625" style="88" bestFit="1" customWidth="1"/>
    <col min="12" max="12" width="8.875" style="88" bestFit="1" customWidth="1"/>
    <col min="13" max="13" width="8.125" style="88" customWidth="1"/>
    <col min="14" max="14" width="10.625" style="88" customWidth="1"/>
    <col min="15" max="15" width="7.75390625" style="88" customWidth="1"/>
    <col min="16" max="16" width="7.00390625" style="88" bestFit="1" customWidth="1"/>
    <col min="17" max="17" width="7.875" style="88" bestFit="1" customWidth="1"/>
    <col min="18" max="16384" width="10.25390625" style="88" customWidth="1"/>
  </cols>
  <sheetData>
    <row r="1" ht="12">
      <c r="Q1" s="90" t="s">
        <v>384</v>
      </c>
    </row>
    <row r="2" ht="14.25">
      <c r="Q2" s="47" t="s">
        <v>582</v>
      </c>
    </row>
    <row r="3" ht="14.25">
      <c r="Q3" s="47" t="s">
        <v>337</v>
      </c>
    </row>
    <row r="4" ht="11.25" customHeight="1"/>
    <row r="5" spans="1:17" ht="14.25" customHeight="1">
      <c r="A5" s="744" t="s">
        <v>145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</row>
    <row r="7" spans="1:17" s="118" customFormat="1" ht="9.75" customHeight="1">
      <c r="A7" s="745" t="s">
        <v>212</v>
      </c>
      <c r="B7" s="745" t="s">
        <v>385</v>
      </c>
      <c r="C7" s="746" t="s">
        <v>386</v>
      </c>
      <c r="D7" s="746" t="s">
        <v>387</v>
      </c>
      <c r="E7" s="746" t="s">
        <v>388</v>
      </c>
      <c r="F7" s="745" t="s">
        <v>389</v>
      </c>
      <c r="G7" s="745"/>
      <c r="H7" s="745" t="s">
        <v>231</v>
      </c>
      <c r="I7" s="745"/>
      <c r="J7" s="745"/>
      <c r="K7" s="745"/>
      <c r="L7" s="745"/>
      <c r="M7" s="745"/>
      <c r="N7" s="745"/>
      <c r="O7" s="745"/>
      <c r="P7" s="745"/>
      <c r="Q7" s="745"/>
    </row>
    <row r="8" spans="1:17" s="118" customFormat="1" ht="9" customHeight="1">
      <c r="A8" s="745"/>
      <c r="B8" s="745"/>
      <c r="C8" s="746"/>
      <c r="D8" s="746"/>
      <c r="E8" s="746"/>
      <c r="F8" s="746" t="s">
        <v>390</v>
      </c>
      <c r="G8" s="746" t="s">
        <v>391</v>
      </c>
      <c r="H8" s="745" t="s">
        <v>141</v>
      </c>
      <c r="I8" s="745"/>
      <c r="J8" s="745"/>
      <c r="K8" s="745"/>
      <c r="L8" s="745"/>
      <c r="M8" s="745"/>
      <c r="N8" s="745"/>
      <c r="O8" s="745"/>
      <c r="P8" s="745"/>
      <c r="Q8" s="745"/>
    </row>
    <row r="9" spans="1:17" s="118" customFormat="1" ht="9.75" customHeight="1">
      <c r="A9" s="745"/>
      <c r="B9" s="745"/>
      <c r="C9" s="746"/>
      <c r="D9" s="746"/>
      <c r="E9" s="746"/>
      <c r="F9" s="746"/>
      <c r="G9" s="746"/>
      <c r="H9" s="746" t="s">
        <v>69</v>
      </c>
      <c r="I9" s="745" t="s">
        <v>392</v>
      </c>
      <c r="J9" s="745"/>
      <c r="K9" s="745"/>
      <c r="L9" s="745"/>
      <c r="M9" s="745"/>
      <c r="N9" s="745"/>
      <c r="O9" s="745"/>
      <c r="P9" s="745"/>
      <c r="Q9" s="745"/>
    </row>
    <row r="10" spans="1:17" s="118" customFormat="1" ht="12" customHeight="1">
      <c r="A10" s="745"/>
      <c r="B10" s="745"/>
      <c r="C10" s="746"/>
      <c r="D10" s="746"/>
      <c r="E10" s="746"/>
      <c r="F10" s="746"/>
      <c r="G10" s="746"/>
      <c r="H10" s="746"/>
      <c r="I10" s="745" t="s">
        <v>393</v>
      </c>
      <c r="J10" s="745"/>
      <c r="K10" s="745"/>
      <c r="L10" s="745"/>
      <c r="M10" s="745" t="s">
        <v>391</v>
      </c>
      <c r="N10" s="745"/>
      <c r="O10" s="745"/>
      <c r="P10" s="745"/>
      <c r="Q10" s="745"/>
    </row>
    <row r="11" spans="1:17" s="118" customFormat="1" ht="9" customHeight="1">
      <c r="A11" s="745"/>
      <c r="B11" s="745"/>
      <c r="C11" s="746"/>
      <c r="D11" s="746"/>
      <c r="E11" s="746"/>
      <c r="F11" s="746"/>
      <c r="G11" s="746"/>
      <c r="H11" s="746"/>
      <c r="I11" s="746" t="s">
        <v>394</v>
      </c>
      <c r="J11" s="745" t="s">
        <v>395</v>
      </c>
      <c r="K11" s="745"/>
      <c r="L11" s="745"/>
      <c r="M11" s="746" t="s">
        <v>396</v>
      </c>
      <c r="N11" s="746" t="s">
        <v>395</v>
      </c>
      <c r="O11" s="746"/>
      <c r="P11" s="746"/>
      <c r="Q11" s="746"/>
    </row>
    <row r="12" spans="1:17" s="118" customFormat="1" ht="34.5" customHeight="1">
      <c r="A12" s="745"/>
      <c r="B12" s="745"/>
      <c r="C12" s="746"/>
      <c r="D12" s="746"/>
      <c r="E12" s="746"/>
      <c r="F12" s="746"/>
      <c r="G12" s="746"/>
      <c r="H12" s="746"/>
      <c r="I12" s="746"/>
      <c r="J12" s="319" t="s">
        <v>397</v>
      </c>
      <c r="K12" s="319" t="s">
        <v>398</v>
      </c>
      <c r="L12" s="319" t="s">
        <v>399</v>
      </c>
      <c r="M12" s="746"/>
      <c r="N12" s="320" t="s">
        <v>400</v>
      </c>
      <c r="O12" s="319" t="s">
        <v>397</v>
      </c>
      <c r="P12" s="319" t="s">
        <v>398</v>
      </c>
      <c r="Q12" s="319" t="s">
        <v>401</v>
      </c>
    </row>
    <row r="13" spans="1:17" s="118" customFormat="1" ht="11.25">
      <c r="A13" s="321">
        <v>1</v>
      </c>
      <c r="B13" s="321">
        <v>2</v>
      </c>
      <c r="C13" s="322">
        <v>3</v>
      </c>
      <c r="D13" s="322">
        <v>4</v>
      </c>
      <c r="E13" s="322">
        <v>5</v>
      </c>
      <c r="F13" s="322">
        <v>6</v>
      </c>
      <c r="G13" s="322">
        <v>7</v>
      </c>
      <c r="H13" s="322">
        <v>8</v>
      </c>
      <c r="I13" s="322">
        <v>9</v>
      </c>
      <c r="J13" s="322">
        <v>10</v>
      </c>
      <c r="K13" s="322">
        <v>11</v>
      </c>
      <c r="L13" s="322">
        <v>12</v>
      </c>
      <c r="M13" s="322">
        <v>13</v>
      </c>
      <c r="N13" s="322">
        <v>14</v>
      </c>
      <c r="O13" s="322">
        <v>15</v>
      </c>
      <c r="P13" s="322">
        <v>16</v>
      </c>
      <c r="Q13" s="322">
        <v>17</v>
      </c>
    </row>
    <row r="14" spans="1:17" s="380" customFormat="1" ht="11.25">
      <c r="A14" s="323">
        <v>1</v>
      </c>
      <c r="B14" s="324" t="s">
        <v>402</v>
      </c>
      <c r="C14" s="737" t="s">
        <v>403</v>
      </c>
      <c r="D14" s="738"/>
      <c r="E14" s="379">
        <f>SUM(E28,E46,E92,E55,E65,E37,E83,E74,E19)</f>
        <v>37730146</v>
      </c>
      <c r="F14" s="379">
        <f aca="true" t="shared" si="0" ref="F14:Q14">SUM(F28,F46,F92,F55,F65,F37,F83,F74,F19)</f>
        <v>12939950</v>
      </c>
      <c r="G14" s="379">
        <f t="shared" si="0"/>
        <v>24790196</v>
      </c>
      <c r="H14" s="379">
        <f>SUM(H19,H28,H37,H46,H65,H74,H83)</f>
        <v>12759115</v>
      </c>
      <c r="I14" s="379">
        <f>SUM(I28,I46,I65,I37,I83,I74,I19)</f>
        <v>4552165</v>
      </c>
      <c r="J14" s="379">
        <f t="shared" si="0"/>
        <v>0</v>
      </c>
      <c r="K14" s="379">
        <f t="shared" si="0"/>
        <v>0</v>
      </c>
      <c r="L14" s="379">
        <f t="shared" si="0"/>
        <v>4552165</v>
      </c>
      <c r="M14" s="379">
        <f t="shared" si="0"/>
        <v>8206950</v>
      </c>
      <c r="N14" s="379">
        <f t="shared" si="0"/>
        <v>0</v>
      </c>
      <c r="O14" s="379">
        <f t="shared" si="0"/>
        <v>0</v>
      </c>
      <c r="P14" s="379">
        <f t="shared" si="0"/>
        <v>0</v>
      </c>
      <c r="Q14" s="379">
        <f t="shared" si="0"/>
        <v>8206950</v>
      </c>
    </row>
    <row r="15" spans="1:17" ht="12.75">
      <c r="A15" s="734" t="s">
        <v>404</v>
      </c>
      <c r="B15" s="173" t="s">
        <v>405</v>
      </c>
      <c r="C15" s="641" t="s">
        <v>70</v>
      </c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</row>
    <row r="16" spans="1:17" ht="12.75">
      <c r="A16" s="639"/>
      <c r="B16" s="173" t="s">
        <v>406</v>
      </c>
      <c r="C16" s="719" t="s">
        <v>454</v>
      </c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4"/>
    </row>
    <row r="17" spans="1:17" ht="12.75">
      <c r="A17" s="639"/>
      <c r="B17" s="173" t="s">
        <v>407</v>
      </c>
      <c r="C17" s="719" t="s">
        <v>548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4"/>
    </row>
    <row r="18" spans="1:18" ht="12.75" customHeight="1">
      <c r="A18" s="639"/>
      <c r="B18" s="173" t="s">
        <v>408</v>
      </c>
      <c r="C18" s="722" t="s">
        <v>571</v>
      </c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6"/>
      <c r="R18" s="381"/>
    </row>
    <row r="19" spans="1:17" ht="11.25">
      <c r="A19" s="639"/>
      <c r="B19" s="173" t="s">
        <v>409</v>
      </c>
      <c r="C19" s="556"/>
      <c r="D19" s="175"/>
      <c r="E19" s="482">
        <f>SUM(F19:G19)</f>
        <v>5018141</v>
      </c>
      <c r="F19" s="482">
        <f>SUM(F20:F21)+20496+33184</f>
        <v>1505443</v>
      </c>
      <c r="G19" s="482">
        <f>SUM(G20:G21)</f>
        <v>3512698</v>
      </c>
      <c r="H19" s="482">
        <f>SUM(I19,M19)</f>
        <v>1551891</v>
      </c>
      <c r="I19" s="482">
        <f>J19+K19+L19</f>
        <v>427992</v>
      </c>
      <c r="J19" s="482">
        <v>0</v>
      </c>
      <c r="K19" s="482">
        <v>0</v>
      </c>
      <c r="L19" s="482">
        <f>321114+106878</f>
        <v>427992</v>
      </c>
      <c r="M19" s="482">
        <f>N19+O19+P19+Q19</f>
        <v>1123899</v>
      </c>
      <c r="N19" s="482">
        <v>0</v>
      </c>
      <c r="O19" s="482">
        <v>0</v>
      </c>
      <c r="P19" s="482">
        <v>0</v>
      </c>
      <c r="Q19" s="482">
        <v>1123899</v>
      </c>
    </row>
    <row r="20" spans="1:18" ht="11.25" customHeight="1">
      <c r="A20" s="639"/>
      <c r="B20" s="173" t="s">
        <v>108</v>
      </c>
      <c r="C20" s="728">
        <v>23</v>
      </c>
      <c r="D20" s="730" t="s">
        <v>420</v>
      </c>
      <c r="E20" s="482">
        <f>SUM(F20,G20)</f>
        <v>1551891</v>
      </c>
      <c r="F20" s="482">
        <f>SUM(I19)</f>
        <v>427992</v>
      </c>
      <c r="G20" s="482">
        <f>SUM(M19)</f>
        <v>1123899</v>
      </c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381"/>
    </row>
    <row r="21" spans="1:17" ht="11.25">
      <c r="A21" s="639"/>
      <c r="B21" s="173" t="s">
        <v>142</v>
      </c>
      <c r="C21" s="729"/>
      <c r="D21" s="731"/>
      <c r="E21" s="482">
        <f>SUM(F21,G21)</f>
        <v>3412570</v>
      </c>
      <c r="F21" s="482">
        <f>682514+341257</f>
        <v>1023771</v>
      </c>
      <c r="G21" s="482">
        <v>2388799</v>
      </c>
      <c r="H21" s="748"/>
      <c r="I21" s="748"/>
      <c r="J21" s="748"/>
      <c r="K21" s="748"/>
      <c r="L21" s="748"/>
      <c r="M21" s="748"/>
      <c r="N21" s="748"/>
      <c r="O21" s="748"/>
      <c r="P21" s="748"/>
      <c r="Q21" s="748"/>
    </row>
    <row r="22" spans="1:17" ht="11.25">
      <c r="A22" s="639"/>
      <c r="B22" s="173" t="s">
        <v>549</v>
      </c>
      <c r="C22" s="729"/>
      <c r="D22" s="731"/>
      <c r="E22" s="482">
        <f>SUM(F22,G22)</f>
        <v>0</v>
      </c>
      <c r="F22" s="482">
        <v>0</v>
      </c>
      <c r="G22" s="482">
        <v>0</v>
      </c>
      <c r="H22" s="748"/>
      <c r="I22" s="748"/>
      <c r="J22" s="748"/>
      <c r="K22" s="748"/>
      <c r="L22" s="748"/>
      <c r="M22" s="748"/>
      <c r="N22" s="748"/>
      <c r="O22" s="748"/>
      <c r="P22" s="748"/>
      <c r="Q22" s="748"/>
    </row>
    <row r="23" spans="1:17" ht="11.25">
      <c r="A23" s="639"/>
      <c r="B23" s="173" t="s">
        <v>550</v>
      </c>
      <c r="C23" s="729"/>
      <c r="D23" s="731"/>
      <c r="E23" s="482">
        <f>SUM(F23,G23)</f>
        <v>0</v>
      </c>
      <c r="F23" s="482">
        <v>0</v>
      </c>
      <c r="G23" s="482">
        <v>0</v>
      </c>
      <c r="H23" s="748"/>
      <c r="I23" s="748"/>
      <c r="J23" s="748"/>
      <c r="K23" s="748"/>
      <c r="L23" s="748"/>
      <c r="M23" s="748"/>
      <c r="N23" s="748"/>
      <c r="O23" s="748"/>
      <c r="P23" s="748"/>
      <c r="Q23" s="748"/>
    </row>
    <row r="24" spans="1:17" ht="12.75">
      <c r="A24" s="734" t="s">
        <v>71</v>
      </c>
      <c r="B24" s="173" t="s">
        <v>405</v>
      </c>
      <c r="C24" s="641" t="s">
        <v>70</v>
      </c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</row>
    <row r="25" spans="1:17" ht="12.75">
      <c r="A25" s="639"/>
      <c r="B25" s="173" t="s">
        <v>406</v>
      </c>
      <c r="C25" s="719" t="s">
        <v>454</v>
      </c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1"/>
    </row>
    <row r="26" spans="1:17" ht="12.75">
      <c r="A26" s="639"/>
      <c r="B26" s="173" t="s">
        <v>407</v>
      </c>
      <c r="C26" s="719" t="s">
        <v>548</v>
      </c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1"/>
    </row>
    <row r="27" spans="1:18" ht="12.75" customHeight="1">
      <c r="A27" s="639"/>
      <c r="B27" s="173" t="s">
        <v>408</v>
      </c>
      <c r="C27" s="722" t="s">
        <v>552</v>
      </c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4"/>
      <c r="R27" s="381"/>
    </row>
    <row r="28" spans="1:17" ht="11.25">
      <c r="A28" s="639"/>
      <c r="B28" s="173" t="s">
        <v>409</v>
      </c>
      <c r="C28" s="556"/>
      <c r="D28" s="175"/>
      <c r="E28" s="482">
        <f>SUM(F28:G28)</f>
        <v>14351171</v>
      </c>
      <c r="F28" s="482">
        <f>SUM(F29:F32)+39410+24400+4270</f>
        <v>5216245</v>
      </c>
      <c r="G28" s="482">
        <f>SUM(G29:G32)</f>
        <v>9134926</v>
      </c>
      <c r="H28" s="482">
        <f>SUM(I28,M28)</f>
        <v>2192158</v>
      </c>
      <c r="I28" s="482">
        <f>J28+K28+L28</f>
        <v>757829</v>
      </c>
      <c r="J28" s="482">
        <v>0</v>
      </c>
      <c r="K28" s="482">
        <v>0</v>
      </c>
      <c r="L28" s="482">
        <v>757829</v>
      </c>
      <c r="M28" s="482">
        <f>N28+O28+P28+Q28</f>
        <v>1434329</v>
      </c>
      <c r="N28" s="482">
        <v>0</v>
      </c>
      <c r="O28" s="482">
        <v>0</v>
      </c>
      <c r="P28" s="482">
        <v>0</v>
      </c>
      <c r="Q28" s="482">
        <v>1434329</v>
      </c>
    </row>
    <row r="29" spans="1:18" ht="11.25" customHeight="1">
      <c r="A29" s="639"/>
      <c r="B29" s="173" t="s">
        <v>108</v>
      </c>
      <c r="C29" s="728">
        <v>23</v>
      </c>
      <c r="D29" s="730" t="s">
        <v>420</v>
      </c>
      <c r="E29" s="482">
        <f>SUM(F29,G29)</f>
        <v>2192158</v>
      </c>
      <c r="F29" s="482">
        <f>SUM(I28)</f>
        <v>757829</v>
      </c>
      <c r="G29" s="482">
        <f>SUM(M28)</f>
        <v>1434329</v>
      </c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381"/>
    </row>
    <row r="30" spans="1:17" ht="11.25">
      <c r="A30" s="639"/>
      <c r="B30" s="173" t="s">
        <v>142</v>
      </c>
      <c r="C30" s="729"/>
      <c r="D30" s="731"/>
      <c r="E30" s="482">
        <f>SUM(F30,G30)</f>
        <v>3714212</v>
      </c>
      <c r="F30" s="482">
        <v>1500542</v>
      </c>
      <c r="G30" s="482">
        <v>2213670</v>
      </c>
      <c r="H30" s="748"/>
      <c r="I30" s="748"/>
      <c r="J30" s="748"/>
      <c r="K30" s="748"/>
      <c r="L30" s="748"/>
      <c r="M30" s="748"/>
      <c r="N30" s="748"/>
      <c r="O30" s="748"/>
      <c r="P30" s="748"/>
      <c r="Q30" s="748"/>
    </row>
    <row r="31" spans="1:17" ht="11.25">
      <c r="A31" s="639"/>
      <c r="B31" s="173" t="s">
        <v>549</v>
      </c>
      <c r="C31" s="729"/>
      <c r="D31" s="731"/>
      <c r="E31" s="482">
        <f>SUM(F31,G31)</f>
        <v>6696962</v>
      </c>
      <c r="F31" s="482">
        <v>2354198</v>
      </c>
      <c r="G31" s="482">
        <v>4342764</v>
      </c>
      <c r="H31" s="748"/>
      <c r="I31" s="748"/>
      <c r="J31" s="748"/>
      <c r="K31" s="748"/>
      <c r="L31" s="748"/>
      <c r="M31" s="748"/>
      <c r="N31" s="748"/>
      <c r="O31" s="748"/>
      <c r="P31" s="748"/>
      <c r="Q31" s="748"/>
    </row>
    <row r="32" spans="1:17" ht="11.25">
      <c r="A32" s="639"/>
      <c r="B32" s="173" t="s">
        <v>550</v>
      </c>
      <c r="C32" s="729"/>
      <c r="D32" s="731"/>
      <c r="E32" s="482">
        <f>SUM(F32,G32)</f>
        <v>1679759</v>
      </c>
      <c r="F32" s="482">
        <v>535596</v>
      </c>
      <c r="G32" s="482">
        <v>1144163</v>
      </c>
      <c r="H32" s="748"/>
      <c r="I32" s="748"/>
      <c r="J32" s="748"/>
      <c r="K32" s="748"/>
      <c r="L32" s="748"/>
      <c r="M32" s="748"/>
      <c r="N32" s="748"/>
      <c r="O32" s="748"/>
      <c r="P32" s="748"/>
      <c r="Q32" s="748"/>
    </row>
    <row r="33" spans="1:17" s="118" customFormat="1" ht="12.75">
      <c r="A33" s="734" t="s">
        <v>410</v>
      </c>
      <c r="B33" s="175" t="s">
        <v>405</v>
      </c>
      <c r="C33" s="641" t="s">
        <v>70</v>
      </c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</row>
    <row r="34" spans="1:17" s="118" customFormat="1" ht="15" customHeight="1">
      <c r="A34" s="639"/>
      <c r="B34" s="175" t="s">
        <v>406</v>
      </c>
      <c r="C34" s="719" t="s">
        <v>454</v>
      </c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1"/>
    </row>
    <row r="35" spans="1:17" s="118" customFormat="1" ht="11.25" customHeight="1">
      <c r="A35" s="639"/>
      <c r="B35" s="175" t="s">
        <v>407</v>
      </c>
      <c r="C35" s="719" t="s">
        <v>72</v>
      </c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1"/>
    </row>
    <row r="36" spans="1:17" s="118" customFormat="1" ht="12.75">
      <c r="A36" s="639"/>
      <c r="B36" s="175" t="s">
        <v>408</v>
      </c>
      <c r="C36" s="719" t="s">
        <v>73</v>
      </c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1"/>
    </row>
    <row r="37" spans="1:17" s="118" customFormat="1" ht="11.25">
      <c r="A37" s="639"/>
      <c r="B37" s="175" t="s">
        <v>409</v>
      </c>
      <c r="C37" s="557"/>
      <c r="D37" s="557"/>
      <c r="E37" s="482">
        <f>SUM(F37:G37)</f>
        <v>4721589</v>
      </c>
      <c r="F37" s="482">
        <v>1517058</v>
      </c>
      <c r="G37" s="482">
        <v>3204531</v>
      </c>
      <c r="H37" s="482">
        <f>SUM(I37,M37)</f>
        <v>4667089</v>
      </c>
      <c r="I37" s="482">
        <f>J37+K37+L37</f>
        <v>1496865</v>
      </c>
      <c r="J37" s="482">
        <v>0</v>
      </c>
      <c r="K37" s="482">
        <v>0</v>
      </c>
      <c r="L37" s="482">
        <v>1496865</v>
      </c>
      <c r="M37" s="482">
        <f>N37+O37+P37+Q37</f>
        <v>3170224</v>
      </c>
      <c r="N37" s="482">
        <v>0</v>
      </c>
      <c r="O37" s="482"/>
      <c r="P37" s="482">
        <v>0</v>
      </c>
      <c r="Q37" s="482">
        <v>3170224</v>
      </c>
    </row>
    <row r="38" spans="1:17" s="118" customFormat="1" ht="11.25" customHeight="1">
      <c r="A38" s="639"/>
      <c r="B38" s="173" t="s">
        <v>108</v>
      </c>
      <c r="C38" s="728">
        <v>23</v>
      </c>
      <c r="D38" s="730" t="s">
        <v>420</v>
      </c>
      <c r="E38" s="482">
        <f>SUM(F38,G38)</f>
        <v>4667089</v>
      </c>
      <c r="F38" s="482">
        <f>SUM(L37)</f>
        <v>1496865</v>
      </c>
      <c r="G38" s="482">
        <f>SUM(M37)</f>
        <v>3170224</v>
      </c>
      <c r="H38" s="749"/>
      <c r="I38" s="749"/>
      <c r="J38" s="749"/>
      <c r="K38" s="749"/>
      <c r="L38" s="749"/>
      <c r="M38" s="749"/>
      <c r="N38" s="749"/>
      <c r="O38" s="749"/>
      <c r="P38" s="749"/>
      <c r="Q38" s="749"/>
    </row>
    <row r="39" spans="1:17" s="118" customFormat="1" ht="11.25">
      <c r="A39" s="639"/>
      <c r="B39" s="173" t="s">
        <v>142</v>
      </c>
      <c r="C39" s="729"/>
      <c r="D39" s="731"/>
      <c r="E39" s="482">
        <f>SUM(F39,G39)</f>
        <v>0</v>
      </c>
      <c r="F39" s="482">
        <v>0</v>
      </c>
      <c r="G39" s="482">
        <v>0</v>
      </c>
      <c r="H39" s="750"/>
      <c r="I39" s="750"/>
      <c r="J39" s="750"/>
      <c r="K39" s="750"/>
      <c r="L39" s="750"/>
      <c r="M39" s="750"/>
      <c r="N39" s="750"/>
      <c r="O39" s="750"/>
      <c r="P39" s="750"/>
      <c r="Q39" s="750"/>
    </row>
    <row r="40" spans="1:17" s="118" customFormat="1" ht="11.25">
      <c r="A40" s="639"/>
      <c r="B40" s="173" t="s">
        <v>549</v>
      </c>
      <c r="C40" s="729"/>
      <c r="D40" s="731"/>
      <c r="E40" s="482">
        <f>SUM(F40,G40)</f>
        <v>0</v>
      </c>
      <c r="F40" s="482"/>
      <c r="G40" s="482"/>
      <c r="H40" s="750"/>
      <c r="I40" s="750"/>
      <c r="J40" s="750"/>
      <c r="K40" s="750"/>
      <c r="L40" s="750"/>
      <c r="M40" s="750"/>
      <c r="N40" s="750"/>
      <c r="O40" s="750"/>
      <c r="P40" s="750"/>
      <c r="Q40" s="750"/>
    </row>
    <row r="41" spans="1:17" s="118" customFormat="1" ht="11.25">
      <c r="A41" s="639"/>
      <c r="B41" s="173" t="s">
        <v>550</v>
      </c>
      <c r="C41" s="729"/>
      <c r="D41" s="731"/>
      <c r="E41" s="482">
        <f>SUM(F41,G41)</f>
        <v>0</v>
      </c>
      <c r="F41" s="482"/>
      <c r="G41" s="482"/>
      <c r="H41" s="751"/>
      <c r="I41" s="751"/>
      <c r="J41" s="751"/>
      <c r="K41" s="751"/>
      <c r="L41" s="751"/>
      <c r="M41" s="751"/>
      <c r="N41" s="751"/>
      <c r="O41" s="751"/>
      <c r="P41" s="751"/>
      <c r="Q41" s="751"/>
    </row>
    <row r="42" spans="1:17" s="118" customFormat="1" ht="12.75">
      <c r="A42" s="734" t="s">
        <v>413</v>
      </c>
      <c r="B42" s="175" t="s">
        <v>405</v>
      </c>
      <c r="C42" s="641" t="s">
        <v>70</v>
      </c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</row>
    <row r="43" spans="1:17" s="118" customFormat="1" ht="11.25" customHeight="1">
      <c r="A43" s="640"/>
      <c r="B43" s="175" t="s">
        <v>406</v>
      </c>
      <c r="C43" s="722" t="s">
        <v>454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4"/>
    </row>
    <row r="44" spans="1:17" s="118" customFormat="1" ht="12.75">
      <c r="A44" s="553" t="s">
        <v>413</v>
      </c>
      <c r="B44" s="173" t="s">
        <v>407</v>
      </c>
      <c r="C44" s="719" t="s">
        <v>548</v>
      </c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1"/>
    </row>
    <row r="45" spans="1:17" s="118" customFormat="1" ht="12.75">
      <c r="A45" s="554"/>
      <c r="B45" s="173" t="s">
        <v>408</v>
      </c>
      <c r="C45" s="722" t="s">
        <v>573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4"/>
    </row>
    <row r="46" spans="1:17" s="118" customFormat="1" ht="11.25" customHeight="1">
      <c r="A46" s="554"/>
      <c r="B46" s="173" t="s">
        <v>409</v>
      </c>
      <c r="C46" s="119"/>
      <c r="D46" s="119"/>
      <c r="E46" s="174">
        <f>SUM(F46:G46)</f>
        <v>9251078</v>
      </c>
      <c r="F46" s="174">
        <f>SUM(F47:F50)+36600</f>
        <v>2775323</v>
      </c>
      <c r="G46" s="174">
        <f>SUM(G47:G50)</f>
        <v>6475755</v>
      </c>
      <c r="H46" s="174">
        <f>SUM(I46,M46)</f>
        <v>50000</v>
      </c>
      <c r="I46" s="174">
        <f>J46+K46+L46</f>
        <v>15000</v>
      </c>
      <c r="J46" s="174">
        <v>0</v>
      </c>
      <c r="K46" s="174">
        <v>0</v>
      </c>
      <c r="L46" s="174">
        <v>15000</v>
      </c>
      <c r="M46" s="174">
        <f>N46+O46+P46+Q46</f>
        <v>35000</v>
      </c>
      <c r="N46" s="174">
        <v>0</v>
      </c>
      <c r="O46" s="174"/>
      <c r="P46" s="174">
        <v>0</v>
      </c>
      <c r="Q46" s="174">
        <v>35000</v>
      </c>
    </row>
    <row r="47" spans="1:17" s="120" customFormat="1" ht="11.25" customHeight="1">
      <c r="A47" s="554"/>
      <c r="B47" s="173" t="s">
        <v>108</v>
      </c>
      <c r="C47" s="650">
        <v>23</v>
      </c>
      <c r="D47" s="653" t="s">
        <v>420</v>
      </c>
      <c r="E47" s="174">
        <f>SUM(F47,G47)</f>
        <v>50000</v>
      </c>
      <c r="F47" s="174">
        <f>SUM(I46)</f>
        <v>15000</v>
      </c>
      <c r="G47" s="174">
        <f>SUM(M46)</f>
        <v>35000</v>
      </c>
      <c r="H47" s="725"/>
      <c r="I47" s="725"/>
      <c r="J47" s="725"/>
      <c r="K47" s="725"/>
      <c r="L47" s="725"/>
      <c r="M47" s="725"/>
      <c r="N47" s="725"/>
      <c r="O47" s="725"/>
      <c r="P47" s="725"/>
      <c r="Q47" s="725"/>
    </row>
    <row r="48" spans="1:17" s="118" customFormat="1" ht="12.75" customHeight="1">
      <c r="A48" s="554"/>
      <c r="B48" s="173" t="s">
        <v>142</v>
      </c>
      <c r="C48" s="651"/>
      <c r="D48" s="637"/>
      <c r="E48" s="174">
        <f>SUM(F48,G48)</f>
        <v>3067163</v>
      </c>
      <c r="F48" s="174">
        <v>894529</v>
      </c>
      <c r="G48" s="174">
        <v>2172634</v>
      </c>
      <c r="H48" s="726"/>
      <c r="I48" s="726"/>
      <c r="J48" s="726"/>
      <c r="K48" s="726"/>
      <c r="L48" s="726"/>
      <c r="M48" s="726"/>
      <c r="N48" s="726"/>
      <c r="O48" s="726"/>
      <c r="P48" s="726"/>
      <c r="Q48" s="726"/>
    </row>
    <row r="49" spans="1:17" s="118" customFormat="1" ht="13.5" customHeight="1">
      <c r="A49" s="554"/>
      <c r="B49" s="173" t="s">
        <v>549</v>
      </c>
      <c r="C49" s="651"/>
      <c r="D49" s="637"/>
      <c r="E49" s="174">
        <f>SUM(F49,G49)</f>
        <v>3080538</v>
      </c>
      <c r="F49" s="174">
        <v>924161</v>
      </c>
      <c r="G49" s="174">
        <v>2156377</v>
      </c>
      <c r="H49" s="727"/>
      <c r="I49" s="727"/>
      <c r="J49" s="727"/>
      <c r="K49" s="727"/>
      <c r="L49" s="727"/>
      <c r="M49" s="727"/>
      <c r="N49" s="727"/>
      <c r="O49" s="727"/>
      <c r="P49" s="727"/>
      <c r="Q49" s="727"/>
    </row>
    <row r="50" spans="1:17" s="118" customFormat="1" ht="13.5" customHeight="1">
      <c r="A50" s="555"/>
      <c r="B50" s="173" t="s">
        <v>550</v>
      </c>
      <c r="C50" s="652"/>
      <c r="D50" s="638"/>
      <c r="E50" s="174">
        <f>SUM(F50,G50)</f>
        <v>3016777</v>
      </c>
      <c r="F50" s="174">
        <v>905033</v>
      </c>
      <c r="G50" s="174">
        <v>2111744</v>
      </c>
      <c r="H50" s="549"/>
      <c r="I50" s="549"/>
      <c r="J50" s="549"/>
      <c r="K50" s="549"/>
      <c r="L50" s="549"/>
      <c r="M50" s="549"/>
      <c r="N50" s="549"/>
      <c r="O50" s="549"/>
      <c r="P50" s="549"/>
      <c r="Q50" s="549"/>
    </row>
    <row r="51" spans="1:17" s="380" customFormat="1" ht="12.75" hidden="1">
      <c r="A51" s="639" t="s">
        <v>413</v>
      </c>
      <c r="B51" s="562" t="s">
        <v>405</v>
      </c>
      <c r="C51" s="735" t="s">
        <v>70</v>
      </c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</row>
    <row r="52" spans="1:17" s="380" customFormat="1" ht="12.75" hidden="1">
      <c r="A52" s="639"/>
      <c r="B52" s="175" t="s">
        <v>406</v>
      </c>
      <c r="C52" s="719" t="s">
        <v>454</v>
      </c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1"/>
    </row>
    <row r="53" spans="1:17" s="380" customFormat="1" ht="12.75" hidden="1">
      <c r="A53" s="639"/>
      <c r="B53" s="175" t="s">
        <v>407</v>
      </c>
      <c r="C53" s="719" t="s">
        <v>548</v>
      </c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1"/>
    </row>
    <row r="54" spans="1:17" s="380" customFormat="1" ht="12.75" hidden="1">
      <c r="A54" s="639"/>
      <c r="B54" s="175" t="s">
        <v>408</v>
      </c>
      <c r="C54" s="722" t="s">
        <v>552</v>
      </c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4"/>
    </row>
    <row r="55" spans="1:17" ht="11.25" hidden="1">
      <c r="A55" s="639"/>
      <c r="B55" s="175" t="s">
        <v>409</v>
      </c>
      <c r="C55" s="650">
        <v>23</v>
      </c>
      <c r="D55" s="653" t="s">
        <v>420</v>
      </c>
      <c r="E55" s="174">
        <f>SUM(F55:G55)</f>
        <v>0</v>
      </c>
      <c r="F55" s="174">
        <v>0</v>
      </c>
      <c r="G55" s="174">
        <f>SUM(G56:G58)</f>
        <v>0</v>
      </c>
      <c r="H55" s="177">
        <f>SUM(I55,M55)</f>
        <v>0</v>
      </c>
      <c r="I55" s="177">
        <f>J55+K55+L55</f>
        <v>0</v>
      </c>
      <c r="J55" s="177">
        <v>0</v>
      </c>
      <c r="K55" s="177">
        <v>0</v>
      </c>
      <c r="L55" s="177">
        <v>0</v>
      </c>
      <c r="M55" s="177">
        <f>N55+O55+P55+Q55</f>
        <v>0</v>
      </c>
      <c r="N55" s="177">
        <v>0</v>
      </c>
      <c r="O55" s="177"/>
      <c r="P55" s="177">
        <v>0</v>
      </c>
      <c r="Q55" s="177">
        <v>0</v>
      </c>
    </row>
    <row r="56" spans="1:17" ht="11.25" hidden="1">
      <c r="A56" s="639"/>
      <c r="B56" s="173" t="s">
        <v>108</v>
      </c>
      <c r="C56" s="651"/>
      <c r="D56" s="637"/>
      <c r="E56" s="174">
        <f>SUM(F56:G56)</f>
        <v>0</v>
      </c>
      <c r="F56" s="174"/>
      <c r="G56" s="178"/>
      <c r="H56" s="179"/>
      <c r="I56" s="179"/>
      <c r="J56" s="179"/>
      <c r="K56" s="179"/>
      <c r="L56" s="179"/>
      <c r="M56" s="180"/>
      <c r="N56" s="181"/>
      <c r="O56" s="181"/>
      <c r="P56" s="181"/>
      <c r="Q56" s="181"/>
    </row>
    <row r="57" spans="1:17" ht="11.25" hidden="1">
      <c r="A57" s="639"/>
      <c r="B57" s="173" t="s">
        <v>142</v>
      </c>
      <c r="C57" s="651"/>
      <c r="D57" s="637"/>
      <c r="E57" s="174">
        <f>SUM(F57,G57)</f>
        <v>0</v>
      </c>
      <c r="F57" s="174"/>
      <c r="G57" s="178"/>
      <c r="H57" s="182"/>
      <c r="I57" s="182"/>
      <c r="J57" s="182"/>
      <c r="K57" s="182"/>
      <c r="L57" s="182"/>
      <c r="M57" s="183"/>
      <c r="N57" s="184"/>
      <c r="O57" s="184"/>
      <c r="P57" s="184"/>
      <c r="Q57" s="184"/>
    </row>
    <row r="58" spans="1:17" ht="11.25" hidden="1">
      <c r="A58" s="639"/>
      <c r="B58" s="173" t="s">
        <v>549</v>
      </c>
      <c r="C58" s="651"/>
      <c r="D58" s="637"/>
      <c r="E58" s="174">
        <f>SUM(F58,G58)</f>
        <v>0</v>
      </c>
      <c r="F58" s="174">
        <v>0</v>
      </c>
      <c r="G58" s="178">
        <v>0</v>
      </c>
      <c r="H58" s="182"/>
      <c r="I58" s="182"/>
      <c r="J58" s="182"/>
      <c r="K58" s="182"/>
      <c r="L58" s="182"/>
      <c r="M58" s="183"/>
      <c r="N58" s="184"/>
      <c r="O58" s="184"/>
      <c r="P58" s="184"/>
      <c r="Q58" s="184"/>
    </row>
    <row r="59" spans="1:17" ht="11.25" hidden="1">
      <c r="A59" s="639"/>
      <c r="B59" s="173" t="s">
        <v>550</v>
      </c>
      <c r="C59" s="651"/>
      <c r="D59" s="637"/>
      <c r="E59" s="174">
        <f>SUM(F59,G59)</f>
        <v>0</v>
      </c>
      <c r="F59" s="174">
        <v>0</v>
      </c>
      <c r="G59" s="178">
        <v>0</v>
      </c>
      <c r="H59" s="182"/>
      <c r="I59" s="182"/>
      <c r="J59" s="182"/>
      <c r="K59" s="182"/>
      <c r="L59" s="182"/>
      <c r="M59" s="183"/>
      <c r="N59" s="184"/>
      <c r="O59" s="184"/>
      <c r="P59" s="184"/>
      <c r="Q59" s="184"/>
    </row>
    <row r="60" spans="1:17" ht="11.25" hidden="1">
      <c r="A60" s="640"/>
      <c r="B60" s="173" t="s">
        <v>551</v>
      </c>
      <c r="C60" s="652"/>
      <c r="D60" s="638"/>
      <c r="E60" s="174">
        <f>SUM(F60,G60)</f>
        <v>0</v>
      </c>
      <c r="F60" s="174">
        <v>0</v>
      </c>
      <c r="G60" s="178">
        <v>0</v>
      </c>
      <c r="H60" s="185"/>
      <c r="I60" s="185"/>
      <c r="J60" s="185"/>
      <c r="K60" s="185"/>
      <c r="L60" s="185"/>
      <c r="M60" s="176"/>
      <c r="N60" s="186"/>
      <c r="O60" s="186"/>
      <c r="P60" s="186"/>
      <c r="Q60" s="186"/>
    </row>
    <row r="61" spans="1:17" ht="12.75">
      <c r="A61" s="734" t="s">
        <v>74</v>
      </c>
      <c r="B61" s="175" t="s">
        <v>405</v>
      </c>
      <c r="C61" s="641" t="s">
        <v>70</v>
      </c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</row>
    <row r="62" spans="1:17" ht="12.75">
      <c r="A62" s="639"/>
      <c r="B62" s="175" t="s">
        <v>406</v>
      </c>
      <c r="C62" s="719" t="s">
        <v>454</v>
      </c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  <c r="Q62" s="721"/>
    </row>
    <row r="63" spans="1:17" ht="12.75">
      <c r="A63" s="639"/>
      <c r="B63" s="175" t="s">
        <v>407</v>
      </c>
      <c r="C63" s="719" t="s">
        <v>75</v>
      </c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1"/>
    </row>
    <row r="64" spans="1:17" ht="12.75">
      <c r="A64" s="639"/>
      <c r="B64" s="175" t="s">
        <v>408</v>
      </c>
      <c r="C64" s="722" t="s">
        <v>76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4"/>
    </row>
    <row r="65" spans="1:17" ht="11.25">
      <c r="A65" s="639"/>
      <c r="B65" s="175" t="s">
        <v>409</v>
      </c>
      <c r="C65" s="728">
        <v>23</v>
      </c>
      <c r="D65" s="730" t="s">
        <v>420</v>
      </c>
      <c r="E65" s="482">
        <f>SUM(F65:G65)</f>
        <v>4223547</v>
      </c>
      <c r="F65" s="482">
        <v>1761261</v>
      </c>
      <c r="G65" s="482">
        <v>2462286</v>
      </c>
      <c r="H65" s="483">
        <f>SUM(I65,M65)</f>
        <v>4196707</v>
      </c>
      <c r="I65" s="483">
        <f>J65+K65+L65</f>
        <v>1753209</v>
      </c>
      <c r="J65" s="483">
        <v>0</v>
      </c>
      <c r="K65" s="483">
        <v>0</v>
      </c>
      <c r="L65" s="174">
        <v>1753209</v>
      </c>
      <c r="M65" s="483">
        <f>N65+O65+P65+Q65</f>
        <v>2443498</v>
      </c>
      <c r="N65" s="483">
        <v>0</v>
      </c>
      <c r="O65" s="483"/>
      <c r="P65" s="483">
        <v>0</v>
      </c>
      <c r="Q65" s="174">
        <v>2443498</v>
      </c>
    </row>
    <row r="66" spans="1:17" ht="11.25">
      <c r="A66" s="639"/>
      <c r="B66" s="173" t="s">
        <v>108</v>
      </c>
      <c r="C66" s="729"/>
      <c r="D66" s="731"/>
      <c r="E66" s="482">
        <f>SUM(F66:G66)</f>
        <v>4196707</v>
      </c>
      <c r="F66" s="482">
        <f>SUM(L65)</f>
        <v>1753209</v>
      </c>
      <c r="G66" s="484">
        <f>SUM(Q65)</f>
        <v>2443498</v>
      </c>
      <c r="H66" s="485"/>
      <c r="I66" s="485"/>
      <c r="J66" s="485"/>
      <c r="K66" s="485"/>
      <c r="L66" s="485"/>
      <c r="M66" s="486"/>
      <c r="N66" s="487"/>
      <c r="O66" s="487"/>
      <c r="P66" s="487"/>
      <c r="Q66" s="487"/>
    </row>
    <row r="67" spans="1:17" ht="11.25">
      <c r="A67" s="639"/>
      <c r="B67" s="173" t="s">
        <v>142</v>
      </c>
      <c r="C67" s="729"/>
      <c r="D67" s="731"/>
      <c r="E67" s="482">
        <f>SUM(F67,G67)</f>
        <v>0</v>
      </c>
      <c r="F67" s="174">
        <v>0</v>
      </c>
      <c r="G67" s="174">
        <v>0</v>
      </c>
      <c r="H67" s="488"/>
      <c r="I67" s="488"/>
      <c r="J67" s="488"/>
      <c r="K67" s="488"/>
      <c r="L67" s="488"/>
      <c r="M67" s="489"/>
      <c r="N67" s="490"/>
      <c r="O67" s="490"/>
      <c r="P67" s="490"/>
      <c r="Q67" s="490"/>
    </row>
    <row r="68" spans="1:17" ht="11.25">
      <c r="A68" s="639"/>
      <c r="B68" s="173" t="s">
        <v>549</v>
      </c>
      <c r="C68" s="729"/>
      <c r="D68" s="731"/>
      <c r="E68" s="482">
        <f>SUM(F68,G68)</f>
        <v>0</v>
      </c>
      <c r="F68" s="482">
        <v>0</v>
      </c>
      <c r="G68" s="484">
        <v>0</v>
      </c>
      <c r="H68" s="488"/>
      <c r="I68" s="488"/>
      <c r="J68" s="488"/>
      <c r="K68" s="488"/>
      <c r="L68" s="488"/>
      <c r="M68" s="489"/>
      <c r="N68" s="490"/>
      <c r="O68" s="490"/>
      <c r="P68" s="490"/>
      <c r="Q68" s="490"/>
    </row>
    <row r="69" spans="1:17" ht="11.25">
      <c r="A69" s="639"/>
      <c r="B69" s="173" t="s">
        <v>550</v>
      </c>
      <c r="C69" s="729"/>
      <c r="D69" s="731"/>
      <c r="E69" s="482">
        <f>SUM(F69,G69)</f>
        <v>0</v>
      </c>
      <c r="F69" s="482">
        <v>0</v>
      </c>
      <c r="G69" s="484">
        <v>0</v>
      </c>
      <c r="H69" s="488"/>
      <c r="I69" s="488"/>
      <c r="J69" s="488"/>
      <c r="K69" s="488"/>
      <c r="L69" s="488"/>
      <c r="M69" s="489"/>
      <c r="N69" s="490"/>
      <c r="O69" s="490"/>
      <c r="P69" s="490"/>
      <c r="Q69" s="490"/>
    </row>
    <row r="70" spans="1:17" ht="12.75">
      <c r="A70" s="734" t="s">
        <v>79</v>
      </c>
      <c r="B70" s="175" t="s">
        <v>405</v>
      </c>
      <c r="C70" s="641" t="s">
        <v>70</v>
      </c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</row>
    <row r="71" spans="1:17" ht="12.75">
      <c r="A71" s="639"/>
      <c r="B71" s="175" t="s">
        <v>406</v>
      </c>
      <c r="C71" s="719" t="s">
        <v>80</v>
      </c>
      <c r="D71" s="720"/>
      <c r="E71" s="720"/>
      <c r="F71" s="720"/>
      <c r="G71" s="720"/>
      <c r="H71" s="720"/>
      <c r="I71" s="720"/>
      <c r="J71" s="720"/>
      <c r="K71" s="720"/>
      <c r="L71" s="720"/>
      <c r="M71" s="720"/>
      <c r="N71" s="720"/>
      <c r="O71" s="720"/>
      <c r="P71" s="720"/>
      <c r="Q71" s="721"/>
    </row>
    <row r="72" spans="1:17" ht="12.75">
      <c r="A72" s="639"/>
      <c r="B72" s="175" t="s">
        <v>407</v>
      </c>
      <c r="C72" s="719" t="s">
        <v>82</v>
      </c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1"/>
    </row>
    <row r="73" spans="1:17" ht="12.75">
      <c r="A73" s="639"/>
      <c r="B73" s="175" t="s">
        <v>408</v>
      </c>
      <c r="C73" s="722" t="s">
        <v>83</v>
      </c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4"/>
    </row>
    <row r="74" spans="1:17" ht="11.25">
      <c r="A74" s="639"/>
      <c r="B74" s="175" t="s">
        <v>409</v>
      </c>
      <c r="C74" s="494">
        <v>57</v>
      </c>
      <c r="D74" s="495"/>
      <c r="E74" s="482">
        <f>SUM(F74:G74)</f>
        <v>12470</v>
      </c>
      <c r="F74" s="482">
        <f>SUM(F75:F76)</f>
        <v>12470</v>
      </c>
      <c r="G74" s="482">
        <f>SUM(G75:G77)</f>
        <v>0</v>
      </c>
      <c r="H74" s="482">
        <f>SUM(I74,M74)</f>
        <v>12470</v>
      </c>
      <c r="I74" s="482">
        <f>J74+K74+L74</f>
        <v>12470</v>
      </c>
      <c r="J74" s="482">
        <v>0</v>
      </c>
      <c r="K74" s="482">
        <v>0</v>
      </c>
      <c r="L74" s="482">
        <f>300+12170</f>
        <v>12470</v>
      </c>
      <c r="M74" s="482">
        <f>N74+O74+P74+Q74</f>
        <v>0</v>
      </c>
      <c r="N74" s="482">
        <v>0</v>
      </c>
      <c r="O74" s="482"/>
      <c r="P74" s="482">
        <v>0</v>
      </c>
      <c r="Q74" s="482">
        <v>0</v>
      </c>
    </row>
    <row r="75" spans="1:17" ht="11.25">
      <c r="A75" s="639"/>
      <c r="B75" s="173" t="s">
        <v>108</v>
      </c>
      <c r="C75" s="728">
        <v>57</v>
      </c>
      <c r="D75" s="730" t="s">
        <v>84</v>
      </c>
      <c r="E75" s="482">
        <f>SUM(F75:G75)</f>
        <v>12470</v>
      </c>
      <c r="F75" s="482">
        <f>SUM(I74)</f>
        <v>12470</v>
      </c>
      <c r="G75" s="484">
        <f>SUM(M74)</f>
        <v>0</v>
      </c>
      <c r="H75" s="485"/>
      <c r="I75" s="485"/>
      <c r="J75" s="485"/>
      <c r="K75" s="485"/>
      <c r="L75" s="485"/>
      <c r="M75" s="486"/>
      <c r="N75" s="487"/>
      <c r="O75" s="487"/>
      <c r="P75" s="487"/>
      <c r="Q75" s="487"/>
    </row>
    <row r="76" spans="1:17" ht="11.25">
      <c r="A76" s="639"/>
      <c r="B76" s="173" t="s">
        <v>142</v>
      </c>
      <c r="C76" s="729"/>
      <c r="D76" s="731"/>
      <c r="E76" s="482">
        <f>SUM(F76,G76)</f>
        <v>0</v>
      </c>
      <c r="F76" s="482">
        <v>0</v>
      </c>
      <c r="G76" s="484">
        <v>0</v>
      </c>
      <c r="H76" s="488"/>
      <c r="I76" s="488"/>
      <c r="J76" s="488"/>
      <c r="K76" s="488"/>
      <c r="L76" s="488"/>
      <c r="M76" s="489"/>
      <c r="N76" s="490"/>
      <c r="O76" s="490"/>
      <c r="P76" s="490"/>
      <c r="Q76" s="490"/>
    </row>
    <row r="77" spans="1:17" ht="11.25">
      <c r="A77" s="639"/>
      <c r="B77" s="173" t="s">
        <v>549</v>
      </c>
      <c r="C77" s="729"/>
      <c r="D77" s="731"/>
      <c r="E77" s="482">
        <f>SUM(F77,G77)</f>
        <v>0</v>
      </c>
      <c r="F77" s="482">
        <v>0</v>
      </c>
      <c r="G77" s="484">
        <v>0</v>
      </c>
      <c r="H77" s="488"/>
      <c r="I77" s="488"/>
      <c r="J77" s="488"/>
      <c r="K77" s="488"/>
      <c r="L77" s="488"/>
      <c r="M77" s="489"/>
      <c r="N77" s="490"/>
      <c r="O77" s="490"/>
      <c r="P77" s="490"/>
      <c r="Q77" s="490"/>
    </row>
    <row r="78" spans="1:17" ht="11.25">
      <c r="A78" s="640"/>
      <c r="B78" s="173" t="s">
        <v>550</v>
      </c>
      <c r="C78" s="729"/>
      <c r="D78" s="731"/>
      <c r="E78" s="482">
        <f>SUM(F78,G78)</f>
        <v>0</v>
      </c>
      <c r="F78" s="482">
        <v>0</v>
      </c>
      <c r="G78" s="484">
        <v>0</v>
      </c>
      <c r="H78" s="488"/>
      <c r="I78" s="488"/>
      <c r="J78" s="488"/>
      <c r="K78" s="488"/>
      <c r="L78" s="488"/>
      <c r="M78" s="489"/>
      <c r="N78" s="490"/>
      <c r="O78" s="490"/>
      <c r="P78" s="490"/>
      <c r="Q78" s="490"/>
    </row>
    <row r="79" spans="1:17" ht="12.75">
      <c r="A79" s="734" t="s">
        <v>85</v>
      </c>
      <c r="B79" s="175" t="s">
        <v>405</v>
      </c>
      <c r="C79" s="641" t="s">
        <v>70</v>
      </c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</row>
    <row r="80" spans="1:17" ht="12.75">
      <c r="A80" s="639"/>
      <c r="B80" s="175" t="s">
        <v>406</v>
      </c>
      <c r="C80" s="719" t="s">
        <v>80</v>
      </c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1"/>
    </row>
    <row r="81" spans="1:17" ht="12.75">
      <c r="A81" s="639"/>
      <c r="B81" s="175" t="s">
        <v>407</v>
      </c>
      <c r="C81" s="719" t="s">
        <v>110</v>
      </c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1"/>
    </row>
    <row r="82" spans="1:17" ht="12.75">
      <c r="A82" s="639"/>
      <c r="B82" s="175" t="s">
        <v>408</v>
      </c>
      <c r="C82" s="722" t="s">
        <v>109</v>
      </c>
      <c r="D82" s="723"/>
      <c r="E82" s="723"/>
      <c r="F82" s="723"/>
      <c r="G82" s="723"/>
      <c r="H82" s="723"/>
      <c r="I82" s="723"/>
      <c r="J82" s="723"/>
      <c r="K82" s="723"/>
      <c r="L82" s="723"/>
      <c r="M82" s="723"/>
      <c r="N82" s="723"/>
      <c r="O82" s="723"/>
      <c r="P82" s="723"/>
      <c r="Q82" s="724"/>
    </row>
    <row r="83" spans="1:17" ht="11.25">
      <c r="A83" s="639"/>
      <c r="B83" s="175" t="s">
        <v>409</v>
      </c>
      <c r="C83" s="494">
        <v>57</v>
      </c>
      <c r="D83" s="495"/>
      <c r="E83" s="482">
        <f>SUM(F83:G83)</f>
        <v>152150</v>
      </c>
      <c r="F83" s="482">
        <f>SUM(F84:F86)</f>
        <v>152150</v>
      </c>
      <c r="G83" s="482">
        <f>SUM(G84:G86)</f>
        <v>0</v>
      </c>
      <c r="H83" s="482">
        <f>SUM(I83,M83)</f>
        <v>88800</v>
      </c>
      <c r="I83" s="482">
        <f>J83+K83+L83</f>
        <v>88800</v>
      </c>
      <c r="J83" s="482">
        <v>0</v>
      </c>
      <c r="K83" s="482">
        <v>0</v>
      </c>
      <c r="L83" s="482">
        <v>88800</v>
      </c>
      <c r="M83" s="482">
        <f>N83+O83+P83+Q83</f>
        <v>0</v>
      </c>
      <c r="N83" s="482">
        <v>0</v>
      </c>
      <c r="O83" s="482"/>
      <c r="P83" s="482">
        <v>0</v>
      </c>
      <c r="Q83" s="482">
        <v>0</v>
      </c>
    </row>
    <row r="84" spans="1:17" ht="11.25">
      <c r="A84" s="639"/>
      <c r="B84" s="173" t="s">
        <v>108</v>
      </c>
      <c r="C84" s="728">
        <v>57</v>
      </c>
      <c r="D84" s="730" t="s">
        <v>84</v>
      </c>
      <c r="E84" s="482">
        <f>SUM(F84:G84)</f>
        <v>88800</v>
      </c>
      <c r="F84" s="482">
        <f>SUM(I83)</f>
        <v>88800</v>
      </c>
      <c r="G84" s="484">
        <f>SUM(M83)</f>
        <v>0</v>
      </c>
      <c r="H84" s="485"/>
      <c r="I84" s="485"/>
      <c r="J84" s="485"/>
      <c r="K84" s="485"/>
      <c r="L84" s="485"/>
      <c r="M84" s="486"/>
      <c r="N84" s="487"/>
      <c r="O84" s="487"/>
      <c r="P84" s="487"/>
      <c r="Q84" s="487"/>
    </row>
    <row r="85" spans="1:17" ht="11.25">
      <c r="A85" s="639"/>
      <c r="B85" s="173" t="s">
        <v>142</v>
      </c>
      <c r="C85" s="729"/>
      <c r="D85" s="731"/>
      <c r="E85" s="482">
        <f>SUM(F85,G85)</f>
        <v>35100</v>
      </c>
      <c r="F85" s="482">
        <v>35100</v>
      </c>
      <c r="G85" s="484">
        <v>0</v>
      </c>
      <c r="H85" s="488"/>
      <c r="I85" s="488"/>
      <c r="J85" s="488"/>
      <c r="K85" s="488"/>
      <c r="L85" s="488"/>
      <c r="M85" s="489"/>
      <c r="N85" s="490"/>
      <c r="O85" s="490"/>
      <c r="P85" s="490"/>
      <c r="Q85" s="490"/>
    </row>
    <row r="86" spans="1:17" ht="11.25">
      <c r="A86" s="639"/>
      <c r="B86" s="173" t="s">
        <v>549</v>
      </c>
      <c r="C86" s="729"/>
      <c r="D86" s="731"/>
      <c r="E86" s="482">
        <f>SUM(F86,G86)</f>
        <v>28250</v>
      </c>
      <c r="F86" s="482">
        <v>28250</v>
      </c>
      <c r="G86" s="484">
        <v>0</v>
      </c>
      <c r="H86" s="488"/>
      <c r="I86" s="488"/>
      <c r="J86" s="488"/>
      <c r="K86" s="488"/>
      <c r="L86" s="488"/>
      <c r="M86" s="489"/>
      <c r="N86" s="490"/>
      <c r="O86" s="490"/>
      <c r="P86" s="490"/>
      <c r="Q86" s="490"/>
    </row>
    <row r="87" spans="1:17" ht="11.25">
      <c r="A87" s="640"/>
      <c r="B87" s="173" t="s">
        <v>550</v>
      </c>
      <c r="C87" s="729"/>
      <c r="D87" s="731"/>
      <c r="E87" s="482">
        <f>SUM(F87,G87)</f>
        <v>0</v>
      </c>
      <c r="F87" s="482">
        <v>0</v>
      </c>
      <c r="G87" s="484">
        <v>0</v>
      </c>
      <c r="H87" s="488"/>
      <c r="I87" s="488"/>
      <c r="J87" s="488"/>
      <c r="K87" s="488"/>
      <c r="L87" s="488"/>
      <c r="M87" s="489"/>
      <c r="N87" s="490"/>
      <c r="O87" s="490"/>
      <c r="P87" s="490"/>
      <c r="Q87" s="490"/>
    </row>
    <row r="88" spans="1:17" ht="12.75" hidden="1">
      <c r="A88" s="734" t="s">
        <v>85</v>
      </c>
      <c r="B88" s="175" t="s">
        <v>405</v>
      </c>
      <c r="C88" s="641" t="s">
        <v>86</v>
      </c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</row>
    <row r="89" spans="1:17" ht="12.75" hidden="1">
      <c r="A89" s="639"/>
      <c r="B89" s="175" t="s">
        <v>406</v>
      </c>
      <c r="C89" s="719" t="s">
        <v>87</v>
      </c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1"/>
    </row>
    <row r="90" spans="1:17" ht="12.75" hidden="1">
      <c r="A90" s="639"/>
      <c r="B90" s="175" t="s">
        <v>407</v>
      </c>
      <c r="C90" s="719"/>
      <c r="D90" s="720"/>
      <c r="E90" s="720"/>
      <c r="F90" s="720"/>
      <c r="G90" s="720"/>
      <c r="H90" s="720"/>
      <c r="I90" s="720"/>
      <c r="J90" s="720"/>
      <c r="K90" s="720"/>
      <c r="L90" s="720"/>
      <c r="M90" s="720"/>
      <c r="N90" s="720"/>
      <c r="O90" s="720"/>
      <c r="P90" s="720"/>
      <c r="Q90" s="721"/>
    </row>
    <row r="91" spans="1:17" ht="12.75" hidden="1">
      <c r="A91" s="639"/>
      <c r="B91" s="175" t="s">
        <v>408</v>
      </c>
      <c r="C91" s="722" t="s">
        <v>88</v>
      </c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3"/>
      <c r="O91" s="723"/>
      <c r="P91" s="723"/>
      <c r="Q91" s="724"/>
    </row>
    <row r="92" spans="1:17" ht="11.25" hidden="1">
      <c r="A92" s="639"/>
      <c r="B92" s="175" t="s">
        <v>409</v>
      </c>
      <c r="C92" s="496"/>
      <c r="D92" s="495"/>
      <c r="E92" s="482">
        <f>SUM(F92:G92)</f>
        <v>0</v>
      </c>
      <c r="F92" s="482">
        <f>SUM(F93:F94)</f>
        <v>0</v>
      </c>
      <c r="G92" s="482">
        <f>SUM(G93:G95)</f>
        <v>0</v>
      </c>
      <c r="H92" s="482">
        <f>SUM(I92,M92)</f>
        <v>0</v>
      </c>
      <c r="I92" s="482">
        <f>J92+K92+L92</f>
        <v>0</v>
      </c>
      <c r="J92" s="482">
        <v>0</v>
      </c>
      <c r="K92" s="482">
        <v>0</v>
      </c>
      <c r="L92" s="482">
        <v>0</v>
      </c>
      <c r="M92" s="482">
        <f>N92+O92+P92+Q92</f>
        <v>0</v>
      </c>
      <c r="N92" s="482">
        <v>0</v>
      </c>
      <c r="O92" s="482"/>
      <c r="P92" s="482">
        <v>0</v>
      </c>
      <c r="Q92" s="482">
        <v>0</v>
      </c>
    </row>
    <row r="93" spans="1:17" ht="11.25" hidden="1">
      <c r="A93" s="639"/>
      <c r="B93" s="173" t="s">
        <v>108</v>
      </c>
      <c r="C93" s="741"/>
      <c r="D93" s="730" t="s">
        <v>89</v>
      </c>
      <c r="E93" s="482">
        <f>SUM(F93:G93)</f>
        <v>0</v>
      </c>
      <c r="F93" s="482">
        <f>SUM(I92)</f>
        <v>0</v>
      </c>
      <c r="G93" s="484">
        <f>SUM(M92)</f>
        <v>0</v>
      </c>
      <c r="H93" s="485"/>
      <c r="I93" s="485"/>
      <c r="J93" s="485"/>
      <c r="K93" s="485"/>
      <c r="L93" s="485"/>
      <c r="M93" s="486"/>
      <c r="N93" s="487"/>
      <c r="O93" s="487"/>
      <c r="P93" s="490"/>
      <c r="Q93" s="490"/>
    </row>
    <row r="94" spans="1:17" ht="11.25" hidden="1">
      <c r="A94" s="639"/>
      <c r="B94" s="173" t="s">
        <v>142</v>
      </c>
      <c r="C94" s="742"/>
      <c r="D94" s="731"/>
      <c r="E94" s="482">
        <f>SUM(F94,G94)</f>
        <v>0</v>
      </c>
      <c r="F94" s="482">
        <v>0</v>
      </c>
      <c r="G94" s="484">
        <v>0</v>
      </c>
      <c r="H94" s="488"/>
      <c r="I94" s="488"/>
      <c r="J94" s="488"/>
      <c r="K94" s="488"/>
      <c r="L94" s="488"/>
      <c r="M94" s="489"/>
      <c r="N94" s="490"/>
      <c r="O94" s="490"/>
      <c r="P94" s="490"/>
      <c r="Q94" s="490"/>
    </row>
    <row r="95" spans="1:17" ht="11.25" hidden="1">
      <c r="A95" s="639"/>
      <c r="B95" s="173" t="s">
        <v>549</v>
      </c>
      <c r="C95" s="742"/>
      <c r="D95" s="731"/>
      <c r="E95" s="482">
        <f>SUM(F95,G95)</f>
        <v>0</v>
      </c>
      <c r="F95" s="482">
        <v>0</v>
      </c>
      <c r="G95" s="484">
        <v>0</v>
      </c>
      <c r="H95" s="488"/>
      <c r="I95" s="488"/>
      <c r="J95" s="488"/>
      <c r="K95" s="488"/>
      <c r="L95" s="488"/>
      <c r="M95" s="489"/>
      <c r="N95" s="490"/>
      <c r="O95" s="490"/>
      <c r="P95" s="490"/>
      <c r="Q95" s="490"/>
    </row>
    <row r="96" spans="1:17" ht="11.25" hidden="1">
      <c r="A96" s="639"/>
      <c r="B96" s="173" t="s">
        <v>550</v>
      </c>
      <c r="C96" s="742"/>
      <c r="D96" s="731"/>
      <c r="E96" s="482">
        <f>SUM(F96,G96)</f>
        <v>0</v>
      </c>
      <c r="F96" s="482">
        <v>0</v>
      </c>
      <c r="G96" s="484">
        <v>0</v>
      </c>
      <c r="H96" s="488"/>
      <c r="I96" s="488"/>
      <c r="J96" s="488"/>
      <c r="K96" s="488"/>
      <c r="L96" s="488"/>
      <c r="M96" s="489"/>
      <c r="N96" s="490"/>
      <c r="O96" s="490"/>
      <c r="P96" s="490"/>
      <c r="Q96" s="490"/>
    </row>
    <row r="97" spans="1:17" ht="11.25" hidden="1">
      <c r="A97" s="640"/>
      <c r="B97" s="173" t="s">
        <v>551</v>
      </c>
      <c r="C97" s="743"/>
      <c r="D97" s="733"/>
      <c r="E97" s="482">
        <f>SUM(F97,G97)</f>
        <v>0</v>
      </c>
      <c r="F97" s="482">
        <v>0</v>
      </c>
      <c r="G97" s="484">
        <v>0</v>
      </c>
      <c r="H97" s="491"/>
      <c r="I97" s="491"/>
      <c r="J97" s="491"/>
      <c r="K97" s="491"/>
      <c r="L97" s="491"/>
      <c r="M97" s="492"/>
      <c r="N97" s="493"/>
      <c r="O97" s="493"/>
      <c r="P97" s="493"/>
      <c r="Q97" s="493"/>
    </row>
    <row r="98" spans="1:17" ht="11.25">
      <c r="A98" s="323">
        <v>2</v>
      </c>
      <c r="B98" s="324" t="s">
        <v>411</v>
      </c>
      <c r="C98" s="740" t="s">
        <v>403</v>
      </c>
      <c r="D98" s="740"/>
      <c r="E98" s="379">
        <f>SUM(E103,E112,E122,E161,E131,E141,E151)</f>
        <v>1656738</v>
      </c>
      <c r="F98" s="379">
        <f aca="true" t="shared" si="1" ref="F98:Q98">SUM(F103,F112,F122,F161,F131,F141,F151)</f>
        <v>142923</v>
      </c>
      <c r="G98" s="379">
        <f t="shared" si="1"/>
        <v>1513815</v>
      </c>
      <c r="H98" s="379">
        <f t="shared" si="1"/>
        <v>1070061</v>
      </c>
      <c r="I98" s="379">
        <f t="shared" si="1"/>
        <v>129580</v>
      </c>
      <c r="J98" s="379">
        <f t="shared" si="1"/>
        <v>0</v>
      </c>
      <c r="K98" s="379">
        <f t="shared" si="1"/>
        <v>0</v>
      </c>
      <c r="L98" s="379">
        <f t="shared" si="1"/>
        <v>129580</v>
      </c>
      <c r="M98" s="379">
        <f t="shared" si="1"/>
        <v>940481</v>
      </c>
      <c r="N98" s="379">
        <f t="shared" si="1"/>
        <v>0</v>
      </c>
      <c r="O98" s="379">
        <f t="shared" si="1"/>
        <v>0</v>
      </c>
      <c r="P98" s="379">
        <f t="shared" si="1"/>
        <v>0</v>
      </c>
      <c r="Q98" s="379">
        <f t="shared" si="1"/>
        <v>940481</v>
      </c>
    </row>
    <row r="99" spans="1:17" ht="12.75">
      <c r="A99" s="563" t="s">
        <v>90</v>
      </c>
      <c r="B99" s="175" t="s">
        <v>405</v>
      </c>
      <c r="C99" s="641" t="s">
        <v>86</v>
      </c>
      <c r="D99" s="642"/>
      <c r="E99" s="642"/>
      <c r="F99" s="642"/>
      <c r="G99" s="642"/>
      <c r="H99" s="642"/>
      <c r="I99" s="642"/>
      <c r="J99" s="642"/>
      <c r="K99" s="642"/>
      <c r="L99" s="642"/>
      <c r="M99" s="642"/>
      <c r="N99" s="642"/>
      <c r="O99" s="642"/>
      <c r="P99" s="642"/>
      <c r="Q99" s="642"/>
    </row>
    <row r="100" spans="1:17" ht="12.75">
      <c r="A100" s="553" t="s">
        <v>90</v>
      </c>
      <c r="B100" s="173" t="s">
        <v>406</v>
      </c>
      <c r="C100" s="719" t="s">
        <v>87</v>
      </c>
      <c r="D100" s="720"/>
      <c r="E100" s="720"/>
      <c r="F100" s="720"/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Q100" s="721"/>
    </row>
    <row r="101" spans="1:17" ht="11.25" customHeight="1">
      <c r="A101" s="554"/>
      <c r="B101" s="173" t="s">
        <v>407</v>
      </c>
      <c r="C101" s="719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1"/>
    </row>
    <row r="102" spans="1:17" ht="12.75">
      <c r="A102" s="554"/>
      <c r="B102" s="173" t="s">
        <v>408</v>
      </c>
      <c r="C102" s="722" t="s">
        <v>88</v>
      </c>
      <c r="D102" s="723"/>
      <c r="E102" s="723"/>
      <c r="F102" s="723"/>
      <c r="G102" s="723"/>
      <c r="H102" s="723"/>
      <c r="I102" s="723"/>
      <c r="J102" s="723"/>
      <c r="K102" s="723"/>
      <c r="L102" s="723"/>
      <c r="M102" s="723"/>
      <c r="N102" s="723"/>
      <c r="O102" s="723"/>
      <c r="P102" s="723"/>
      <c r="Q102" s="724"/>
    </row>
    <row r="103" spans="1:17" ht="11.25">
      <c r="A103" s="554"/>
      <c r="B103" s="173" t="s">
        <v>409</v>
      </c>
      <c r="C103" s="496"/>
      <c r="D103" s="495"/>
      <c r="E103" s="482">
        <f>G103</f>
        <v>97010</v>
      </c>
      <c r="F103" s="482">
        <v>0</v>
      </c>
      <c r="G103" s="482">
        <f>SUM(G104:G106)+2102</f>
        <v>97010</v>
      </c>
      <c r="H103" s="482">
        <f>SUM(I103,M103)</f>
        <v>38419</v>
      </c>
      <c r="I103" s="482">
        <f>J103+K103+L103</f>
        <v>0</v>
      </c>
      <c r="J103" s="482">
        <v>0</v>
      </c>
      <c r="K103" s="482">
        <v>0</v>
      </c>
      <c r="L103" s="482">
        <v>0</v>
      </c>
      <c r="M103" s="482">
        <f>N103+O103+P103+Q103</f>
        <v>38419</v>
      </c>
      <c r="N103" s="482">
        <v>0</v>
      </c>
      <c r="O103" s="482"/>
      <c r="P103" s="482">
        <v>0</v>
      </c>
      <c r="Q103" s="482">
        <v>38419</v>
      </c>
    </row>
    <row r="104" spans="1:17" ht="11.25">
      <c r="A104" s="554"/>
      <c r="B104" s="173" t="s">
        <v>108</v>
      </c>
      <c r="C104" s="496"/>
      <c r="D104" s="495"/>
      <c r="E104" s="482">
        <f>SUM(F104:G104)</f>
        <v>38419</v>
      </c>
      <c r="F104" s="482">
        <f>SUM(I103)</f>
        <v>0</v>
      </c>
      <c r="G104" s="484">
        <f>SUM(M103)</f>
        <v>38419</v>
      </c>
      <c r="H104" s="525"/>
      <c r="I104" s="525"/>
      <c r="J104" s="525"/>
      <c r="K104" s="525"/>
      <c r="L104" s="525"/>
      <c r="M104" s="526"/>
      <c r="N104" s="527"/>
      <c r="O104" s="527"/>
      <c r="P104" s="493"/>
      <c r="Q104" s="493"/>
    </row>
    <row r="105" spans="1:17" ht="15.75" customHeight="1">
      <c r="A105" s="639"/>
      <c r="B105" s="173" t="s">
        <v>142</v>
      </c>
      <c r="C105" s="497"/>
      <c r="D105" s="730" t="s">
        <v>89</v>
      </c>
      <c r="E105" s="482">
        <f>SUM(F105,G105)</f>
        <v>41423</v>
      </c>
      <c r="F105" s="482">
        <v>0</v>
      </c>
      <c r="G105" s="484">
        <v>41423</v>
      </c>
      <c r="H105" s="485"/>
      <c r="I105" s="485"/>
      <c r="J105" s="485"/>
      <c r="K105" s="485"/>
      <c r="L105" s="485"/>
      <c r="M105" s="486"/>
      <c r="N105" s="487"/>
      <c r="O105" s="487"/>
      <c r="P105" s="487"/>
      <c r="Q105" s="487"/>
    </row>
    <row r="106" spans="1:17" ht="11.25">
      <c r="A106" s="639"/>
      <c r="B106" s="173" t="s">
        <v>549</v>
      </c>
      <c r="C106" s="498"/>
      <c r="D106" s="731"/>
      <c r="E106" s="482">
        <f>SUM(F106,G106)</f>
        <v>15066</v>
      </c>
      <c r="F106" s="482">
        <v>0</v>
      </c>
      <c r="G106" s="484">
        <v>15066</v>
      </c>
      <c r="H106" s="488"/>
      <c r="I106" s="488"/>
      <c r="J106" s="488"/>
      <c r="K106" s="488"/>
      <c r="L106" s="488"/>
      <c r="M106" s="489"/>
      <c r="N106" s="490"/>
      <c r="O106" s="490"/>
      <c r="P106" s="490"/>
      <c r="Q106" s="490"/>
    </row>
    <row r="107" spans="1:17" ht="11.25">
      <c r="A107" s="640"/>
      <c r="B107" s="173" t="s">
        <v>550</v>
      </c>
      <c r="C107" s="499"/>
      <c r="D107" s="733"/>
      <c r="E107" s="482">
        <f>SUM(F107,G107)</f>
        <v>0</v>
      </c>
      <c r="F107" s="482">
        <v>0</v>
      </c>
      <c r="G107" s="484">
        <v>0</v>
      </c>
      <c r="H107" s="491"/>
      <c r="I107" s="491"/>
      <c r="J107" s="491"/>
      <c r="K107" s="491"/>
      <c r="L107" s="491"/>
      <c r="M107" s="492"/>
      <c r="N107" s="493"/>
      <c r="O107" s="493"/>
      <c r="P107" s="493"/>
      <c r="Q107" s="493"/>
    </row>
    <row r="108" spans="1:17" ht="12.75">
      <c r="A108" s="639" t="s">
        <v>91</v>
      </c>
      <c r="B108" s="175" t="s">
        <v>405</v>
      </c>
      <c r="C108" s="641" t="s">
        <v>92</v>
      </c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</row>
    <row r="109" spans="1:17" ht="12.75">
      <c r="A109" s="639"/>
      <c r="B109" s="175" t="s">
        <v>406</v>
      </c>
      <c r="C109" s="719" t="s">
        <v>93</v>
      </c>
      <c r="D109" s="720"/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1"/>
    </row>
    <row r="110" spans="1:17" ht="12.75">
      <c r="A110" s="639"/>
      <c r="B110" s="175" t="s">
        <v>407</v>
      </c>
      <c r="C110" s="719" t="s">
        <v>94</v>
      </c>
      <c r="D110" s="720"/>
      <c r="E110" s="720"/>
      <c r="F110" s="720"/>
      <c r="G110" s="720"/>
      <c r="H110" s="720"/>
      <c r="I110" s="720"/>
      <c r="J110" s="720"/>
      <c r="K110" s="720"/>
      <c r="L110" s="720"/>
      <c r="M110" s="720"/>
      <c r="N110" s="720"/>
      <c r="O110" s="720"/>
      <c r="P110" s="720"/>
      <c r="Q110" s="721"/>
    </row>
    <row r="111" spans="1:17" ht="12.75">
      <c r="A111" s="639"/>
      <c r="B111" s="175" t="s">
        <v>408</v>
      </c>
      <c r="C111" s="722" t="s">
        <v>95</v>
      </c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4"/>
    </row>
    <row r="112" spans="1:17" ht="11.25">
      <c r="A112" s="639"/>
      <c r="B112" s="175" t="s">
        <v>409</v>
      </c>
      <c r="C112" s="496"/>
      <c r="D112" s="495"/>
      <c r="E112" s="482">
        <f>SUM(G112)</f>
        <v>154785</v>
      </c>
      <c r="F112" s="482">
        <f>SUM(F113:F116)</f>
        <v>0</v>
      </c>
      <c r="G112" s="482">
        <f>SUM(G113:G115)+78924</f>
        <v>154785</v>
      </c>
      <c r="H112" s="482">
        <f>SUM(I112,M112)</f>
        <v>75861</v>
      </c>
      <c r="I112" s="482">
        <f>J112+K112+L112</f>
        <v>0</v>
      </c>
      <c r="J112" s="482">
        <v>0</v>
      </c>
      <c r="K112" s="482">
        <v>0</v>
      </c>
      <c r="L112" s="482">
        <v>0</v>
      </c>
      <c r="M112" s="482">
        <f>N112+O112+P112+Q112</f>
        <v>75861</v>
      </c>
      <c r="N112" s="482">
        <v>0</v>
      </c>
      <c r="O112" s="482"/>
      <c r="P112" s="482">
        <v>0</v>
      </c>
      <c r="Q112" s="482">
        <v>75861</v>
      </c>
    </row>
    <row r="113" spans="1:17" ht="11.25">
      <c r="A113" s="639"/>
      <c r="B113" s="173" t="s">
        <v>108</v>
      </c>
      <c r="C113" s="728">
        <v>73</v>
      </c>
      <c r="D113" s="730" t="s">
        <v>96</v>
      </c>
      <c r="E113" s="482">
        <f>SUM(F113:G113)</f>
        <v>75861</v>
      </c>
      <c r="F113" s="482">
        <f>SUM(I112)</f>
        <v>0</v>
      </c>
      <c r="G113" s="484">
        <f>SUM(M112)</f>
        <v>75861</v>
      </c>
      <c r="H113" s="485"/>
      <c r="I113" s="485"/>
      <c r="J113" s="485"/>
      <c r="K113" s="485"/>
      <c r="L113" s="485"/>
      <c r="M113" s="486"/>
      <c r="N113" s="487"/>
      <c r="O113" s="487"/>
      <c r="P113" s="487"/>
      <c r="Q113" s="487"/>
    </row>
    <row r="114" spans="1:17" ht="11.25">
      <c r="A114" s="639"/>
      <c r="B114" s="173" t="s">
        <v>142</v>
      </c>
      <c r="C114" s="729"/>
      <c r="D114" s="731"/>
      <c r="E114" s="482">
        <f>SUM(F114,G114)</f>
        <v>0</v>
      </c>
      <c r="F114" s="482">
        <v>0</v>
      </c>
      <c r="G114" s="484">
        <v>0</v>
      </c>
      <c r="H114" s="488"/>
      <c r="I114" s="488"/>
      <c r="J114" s="488"/>
      <c r="K114" s="488"/>
      <c r="L114" s="488"/>
      <c r="M114" s="489"/>
      <c r="N114" s="490"/>
      <c r="O114" s="490"/>
      <c r="P114" s="490"/>
      <c r="Q114" s="490"/>
    </row>
    <row r="115" spans="1:17" ht="11.25">
      <c r="A115" s="639"/>
      <c r="B115" s="173" t="s">
        <v>549</v>
      </c>
      <c r="C115" s="729"/>
      <c r="D115" s="731"/>
      <c r="E115" s="482">
        <f>SUM(F115,G115)</f>
        <v>0</v>
      </c>
      <c r="F115" s="482">
        <v>0</v>
      </c>
      <c r="G115" s="484">
        <v>0</v>
      </c>
      <c r="H115" s="488"/>
      <c r="I115" s="488"/>
      <c r="J115" s="488"/>
      <c r="K115" s="488"/>
      <c r="L115" s="488"/>
      <c r="M115" s="489"/>
      <c r="N115" s="490"/>
      <c r="O115" s="490"/>
      <c r="P115" s="490"/>
      <c r="Q115" s="490"/>
    </row>
    <row r="116" spans="1:17" ht="11.25">
      <c r="A116" s="639"/>
      <c r="B116" s="173" t="s">
        <v>550</v>
      </c>
      <c r="C116" s="729"/>
      <c r="D116" s="731"/>
      <c r="E116" s="482">
        <f>SUM(F116,G116)</f>
        <v>0</v>
      </c>
      <c r="F116" s="482">
        <v>0</v>
      </c>
      <c r="G116" s="484">
        <v>0</v>
      </c>
      <c r="H116" s="488"/>
      <c r="I116" s="488"/>
      <c r="J116" s="488"/>
      <c r="K116" s="488"/>
      <c r="L116" s="488"/>
      <c r="M116" s="489"/>
      <c r="N116" s="490"/>
      <c r="O116" s="490"/>
      <c r="P116" s="490"/>
      <c r="Q116" s="490"/>
    </row>
    <row r="117" spans="1:17" ht="11.25">
      <c r="A117" s="640"/>
      <c r="B117" s="173" t="s">
        <v>551</v>
      </c>
      <c r="C117" s="732"/>
      <c r="D117" s="733"/>
      <c r="E117" s="482">
        <f>SUM(F117,G117)</f>
        <v>0</v>
      </c>
      <c r="F117" s="482">
        <v>0</v>
      </c>
      <c r="G117" s="484">
        <v>0</v>
      </c>
      <c r="H117" s="491"/>
      <c r="I117" s="491"/>
      <c r="J117" s="491"/>
      <c r="K117" s="491"/>
      <c r="L117" s="491"/>
      <c r="M117" s="492"/>
      <c r="N117" s="493"/>
      <c r="O117" s="493"/>
      <c r="P117" s="493"/>
      <c r="Q117" s="493"/>
    </row>
    <row r="118" spans="1:17" ht="12.75">
      <c r="A118" s="734" t="s">
        <v>97</v>
      </c>
      <c r="B118" s="175" t="s">
        <v>405</v>
      </c>
      <c r="C118" s="641" t="s">
        <v>92</v>
      </c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</row>
    <row r="119" spans="1:17" ht="12.75">
      <c r="A119" s="639"/>
      <c r="B119" s="175" t="s">
        <v>406</v>
      </c>
      <c r="C119" s="719" t="s">
        <v>98</v>
      </c>
      <c r="D119" s="720"/>
      <c r="E119" s="720"/>
      <c r="F119" s="720"/>
      <c r="G119" s="720"/>
      <c r="H119" s="720"/>
      <c r="I119" s="720"/>
      <c r="J119" s="720"/>
      <c r="K119" s="720"/>
      <c r="L119" s="720"/>
      <c r="M119" s="720"/>
      <c r="N119" s="720"/>
      <c r="O119" s="720"/>
      <c r="P119" s="720"/>
      <c r="Q119" s="721"/>
    </row>
    <row r="120" spans="1:17" ht="12.75">
      <c r="A120" s="639"/>
      <c r="B120" s="175" t="s">
        <v>407</v>
      </c>
      <c r="C120" s="719" t="s">
        <v>99</v>
      </c>
      <c r="D120" s="720"/>
      <c r="E120" s="720"/>
      <c r="F120" s="720"/>
      <c r="G120" s="720"/>
      <c r="H120" s="720"/>
      <c r="I120" s="720"/>
      <c r="J120" s="720"/>
      <c r="K120" s="720"/>
      <c r="L120" s="720"/>
      <c r="M120" s="720"/>
      <c r="N120" s="720"/>
      <c r="O120" s="720"/>
      <c r="P120" s="720"/>
      <c r="Q120" s="721"/>
    </row>
    <row r="121" spans="1:17" ht="12.75">
      <c r="A121" s="639"/>
      <c r="B121" s="175" t="s">
        <v>408</v>
      </c>
      <c r="C121" s="722" t="s">
        <v>349</v>
      </c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4"/>
    </row>
    <row r="122" spans="1:17" ht="11.25">
      <c r="A122" s="639"/>
      <c r="B122" s="175" t="s">
        <v>409</v>
      </c>
      <c r="C122" s="496"/>
      <c r="D122" s="495"/>
      <c r="E122" s="482">
        <f>SUM(G122)</f>
        <v>452074</v>
      </c>
      <c r="F122" s="482">
        <f>SUM(F123:F126)</f>
        <v>0</v>
      </c>
      <c r="G122" s="482">
        <f>SUM(G123:G126)+41159</f>
        <v>452074</v>
      </c>
      <c r="H122" s="482">
        <f>SUM(I122,M122)</f>
        <v>91872</v>
      </c>
      <c r="I122" s="482">
        <f>J122+K122+L122</f>
        <v>0</v>
      </c>
      <c r="J122" s="482">
        <v>0</v>
      </c>
      <c r="K122" s="482">
        <v>0</v>
      </c>
      <c r="L122" s="482">
        <v>0</v>
      </c>
      <c r="M122" s="482">
        <f>N122+O122+P122+Q122</f>
        <v>91872</v>
      </c>
      <c r="N122" s="482">
        <v>0</v>
      </c>
      <c r="O122" s="482"/>
      <c r="P122" s="482">
        <v>0</v>
      </c>
      <c r="Q122" s="482">
        <v>91872</v>
      </c>
    </row>
    <row r="123" spans="1:17" ht="11.25">
      <c r="A123" s="639"/>
      <c r="B123" s="173" t="s">
        <v>108</v>
      </c>
      <c r="C123" s="728">
        <v>65</v>
      </c>
      <c r="D123" s="730" t="s">
        <v>96</v>
      </c>
      <c r="E123" s="482">
        <f>SUM(F123:G123)</f>
        <v>91872</v>
      </c>
      <c r="F123" s="482">
        <f>SUM(I122)</f>
        <v>0</v>
      </c>
      <c r="G123" s="484">
        <f>SUM(M122)</f>
        <v>91872</v>
      </c>
      <c r="H123" s="485"/>
      <c r="I123" s="485"/>
      <c r="J123" s="485"/>
      <c r="K123" s="485"/>
      <c r="L123" s="485"/>
      <c r="M123" s="486"/>
      <c r="N123" s="487"/>
      <c r="O123" s="487"/>
      <c r="P123" s="490"/>
      <c r="Q123" s="490"/>
    </row>
    <row r="124" spans="1:17" ht="11.25">
      <c r="A124" s="639"/>
      <c r="B124" s="173" t="s">
        <v>142</v>
      </c>
      <c r="C124" s="729"/>
      <c r="D124" s="731"/>
      <c r="E124" s="482">
        <f>SUM(F124,G124)</f>
        <v>110312</v>
      </c>
      <c r="F124" s="482">
        <v>0</v>
      </c>
      <c r="G124" s="484">
        <v>110312</v>
      </c>
      <c r="H124" s="488"/>
      <c r="I124" s="488"/>
      <c r="J124" s="488"/>
      <c r="K124" s="488"/>
      <c r="L124" s="488"/>
      <c r="M124" s="489"/>
      <c r="N124" s="490"/>
      <c r="O124" s="490"/>
      <c r="P124" s="490"/>
      <c r="Q124" s="490"/>
    </row>
    <row r="125" spans="1:17" ht="11.25">
      <c r="A125" s="639"/>
      <c r="B125" s="173" t="s">
        <v>549</v>
      </c>
      <c r="C125" s="729"/>
      <c r="D125" s="731"/>
      <c r="E125" s="482">
        <f>SUM(F125,G125)</f>
        <v>117613</v>
      </c>
      <c r="F125" s="482">
        <v>0</v>
      </c>
      <c r="G125" s="484">
        <v>117613</v>
      </c>
      <c r="H125" s="488"/>
      <c r="I125" s="488"/>
      <c r="J125" s="488"/>
      <c r="K125" s="488"/>
      <c r="L125" s="488"/>
      <c r="M125" s="489"/>
      <c r="N125" s="490"/>
      <c r="O125" s="490"/>
      <c r="P125" s="490"/>
      <c r="Q125" s="490"/>
    </row>
    <row r="126" spans="1:17" ht="11.25">
      <c r="A126" s="639"/>
      <c r="B126" s="173" t="s">
        <v>550</v>
      </c>
      <c r="C126" s="729"/>
      <c r="D126" s="731"/>
      <c r="E126" s="482">
        <f>SUM(F126,G126)</f>
        <v>91118</v>
      </c>
      <c r="F126" s="482">
        <v>0</v>
      </c>
      <c r="G126" s="484">
        <v>91118</v>
      </c>
      <c r="H126" s="488"/>
      <c r="I126" s="488"/>
      <c r="J126" s="488"/>
      <c r="K126" s="488"/>
      <c r="L126" s="488"/>
      <c r="M126" s="489"/>
      <c r="N126" s="490"/>
      <c r="O126" s="490"/>
      <c r="P126" s="490"/>
      <c r="Q126" s="490"/>
    </row>
    <row r="127" spans="1:17" ht="12.75">
      <c r="A127" s="734" t="s">
        <v>100</v>
      </c>
      <c r="B127" s="175" t="s">
        <v>405</v>
      </c>
      <c r="C127" s="641" t="s">
        <v>92</v>
      </c>
      <c r="D127" s="642"/>
      <c r="E127" s="642"/>
      <c r="F127" s="642"/>
      <c r="G127" s="642"/>
      <c r="H127" s="642"/>
      <c r="I127" s="642"/>
      <c r="J127" s="642"/>
      <c r="K127" s="642"/>
      <c r="L127" s="642"/>
      <c r="M127" s="642"/>
      <c r="N127" s="642"/>
      <c r="O127" s="642"/>
      <c r="P127" s="642"/>
      <c r="Q127" s="642"/>
    </row>
    <row r="128" spans="1:17" ht="12.75">
      <c r="A128" s="639"/>
      <c r="B128" s="175" t="s">
        <v>406</v>
      </c>
      <c r="C128" s="719" t="s">
        <v>101</v>
      </c>
      <c r="D128" s="720"/>
      <c r="E128" s="720"/>
      <c r="F128" s="720"/>
      <c r="G128" s="720"/>
      <c r="H128" s="720"/>
      <c r="I128" s="720"/>
      <c r="J128" s="720"/>
      <c r="K128" s="720"/>
      <c r="L128" s="720"/>
      <c r="M128" s="720"/>
      <c r="N128" s="720"/>
      <c r="O128" s="720"/>
      <c r="P128" s="720"/>
      <c r="Q128" s="721"/>
    </row>
    <row r="129" spans="1:17" ht="12.75">
      <c r="A129" s="639"/>
      <c r="B129" s="175" t="s">
        <v>407</v>
      </c>
      <c r="C129" s="719" t="s">
        <v>102</v>
      </c>
      <c r="D129" s="720"/>
      <c r="E129" s="720"/>
      <c r="F129" s="720"/>
      <c r="G129" s="720"/>
      <c r="H129" s="720"/>
      <c r="I129" s="720"/>
      <c r="J129" s="720"/>
      <c r="K129" s="720"/>
      <c r="L129" s="720"/>
      <c r="M129" s="720"/>
      <c r="N129" s="720"/>
      <c r="O129" s="720"/>
      <c r="P129" s="720"/>
      <c r="Q129" s="721"/>
    </row>
    <row r="130" spans="1:17" ht="12.75">
      <c r="A130" s="639"/>
      <c r="B130" s="175" t="s">
        <v>408</v>
      </c>
      <c r="C130" s="722" t="s">
        <v>348</v>
      </c>
      <c r="D130" s="723"/>
      <c r="E130" s="723"/>
      <c r="F130" s="723"/>
      <c r="G130" s="723"/>
      <c r="H130" s="723"/>
      <c r="I130" s="723"/>
      <c r="J130" s="723"/>
      <c r="K130" s="723"/>
      <c r="L130" s="723"/>
      <c r="M130" s="723"/>
      <c r="N130" s="723"/>
      <c r="O130" s="723"/>
      <c r="P130" s="723"/>
      <c r="Q130" s="724"/>
    </row>
    <row r="131" spans="1:17" ht="11.25">
      <c r="A131" s="639"/>
      <c r="B131" s="175" t="s">
        <v>409</v>
      </c>
      <c r="C131" s="496"/>
      <c r="D131" s="495"/>
      <c r="E131" s="482">
        <f>SUM(E132:E135)</f>
        <v>146682</v>
      </c>
      <c r="F131" s="482">
        <f>SUM(F132:F135)</f>
        <v>22002</v>
      </c>
      <c r="G131" s="482">
        <f>SUM(G132:G134)</f>
        <v>124680</v>
      </c>
      <c r="H131" s="482">
        <f>SUM(I131,M131)</f>
        <v>146682</v>
      </c>
      <c r="I131" s="482">
        <f>J131+K131+L131</f>
        <v>22002</v>
      </c>
      <c r="J131" s="482">
        <v>0</v>
      </c>
      <c r="K131" s="482">
        <v>0</v>
      </c>
      <c r="L131" s="482">
        <v>22002</v>
      </c>
      <c r="M131" s="482">
        <f>N131+O131+P131+Q131</f>
        <v>124680</v>
      </c>
      <c r="N131" s="482">
        <v>0</v>
      </c>
      <c r="O131" s="482"/>
      <c r="P131" s="482">
        <v>0</v>
      </c>
      <c r="Q131" s="482">
        <v>124680</v>
      </c>
    </row>
    <row r="132" spans="1:17" ht="11.25">
      <c r="A132" s="639"/>
      <c r="B132" s="173" t="s">
        <v>108</v>
      </c>
      <c r="C132" s="728">
        <v>71</v>
      </c>
      <c r="D132" s="730" t="s">
        <v>96</v>
      </c>
      <c r="E132" s="482">
        <f>SUM(F132:G132)</f>
        <v>146682</v>
      </c>
      <c r="F132" s="482">
        <f>SUM(I131)</f>
        <v>22002</v>
      </c>
      <c r="G132" s="484">
        <f>SUM(M131)</f>
        <v>124680</v>
      </c>
      <c r="H132" s="485"/>
      <c r="I132" s="485"/>
      <c r="J132" s="485"/>
      <c r="K132" s="485"/>
      <c r="L132" s="485"/>
      <c r="M132" s="486"/>
      <c r="N132" s="487"/>
      <c r="O132" s="487"/>
      <c r="P132" s="490"/>
      <c r="Q132" s="490"/>
    </row>
    <row r="133" spans="1:17" ht="11.25">
      <c r="A133" s="639"/>
      <c r="B133" s="173" t="s">
        <v>142</v>
      </c>
      <c r="C133" s="729"/>
      <c r="D133" s="731"/>
      <c r="E133" s="482">
        <f>SUM(F133,G133)</f>
        <v>0</v>
      </c>
      <c r="F133" s="482">
        <v>0</v>
      </c>
      <c r="G133" s="484">
        <v>0</v>
      </c>
      <c r="H133" s="488"/>
      <c r="I133" s="488"/>
      <c r="J133" s="488"/>
      <c r="K133" s="488"/>
      <c r="L133" s="488"/>
      <c r="M133" s="489"/>
      <c r="N133" s="490"/>
      <c r="O133" s="490"/>
      <c r="P133" s="490"/>
      <c r="Q133" s="490"/>
    </row>
    <row r="134" spans="1:17" ht="11.25">
      <c r="A134" s="639"/>
      <c r="B134" s="173" t="s">
        <v>549</v>
      </c>
      <c r="C134" s="729"/>
      <c r="D134" s="731"/>
      <c r="E134" s="482">
        <f>SUM(F134,G134)</f>
        <v>0</v>
      </c>
      <c r="F134" s="482">
        <v>0</v>
      </c>
      <c r="G134" s="484">
        <v>0</v>
      </c>
      <c r="H134" s="488"/>
      <c r="I134" s="488"/>
      <c r="J134" s="488"/>
      <c r="K134" s="488"/>
      <c r="L134" s="488"/>
      <c r="M134" s="489"/>
      <c r="N134" s="490"/>
      <c r="O134" s="490"/>
      <c r="P134" s="490"/>
      <c r="Q134" s="490"/>
    </row>
    <row r="135" spans="1:17" ht="11.25">
      <c r="A135" s="639"/>
      <c r="B135" s="173" t="s">
        <v>550</v>
      </c>
      <c r="C135" s="729"/>
      <c r="D135" s="731"/>
      <c r="E135" s="482">
        <f>SUM(F135,G135)</f>
        <v>0</v>
      </c>
      <c r="F135" s="482">
        <v>0</v>
      </c>
      <c r="G135" s="484">
        <v>0</v>
      </c>
      <c r="H135" s="488"/>
      <c r="I135" s="488"/>
      <c r="J135" s="488"/>
      <c r="K135" s="488"/>
      <c r="L135" s="488"/>
      <c r="M135" s="489"/>
      <c r="N135" s="490"/>
      <c r="O135" s="490"/>
      <c r="P135" s="490"/>
      <c r="Q135" s="490"/>
    </row>
    <row r="136" spans="1:17" ht="11.25">
      <c r="A136" s="640"/>
      <c r="B136" s="173" t="s">
        <v>551</v>
      </c>
      <c r="C136" s="732"/>
      <c r="D136" s="733"/>
      <c r="E136" s="482">
        <f>SUM(F136,G136)</f>
        <v>0</v>
      </c>
      <c r="F136" s="482">
        <v>0</v>
      </c>
      <c r="G136" s="484">
        <v>0</v>
      </c>
      <c r="H136" s="491"/>
      <c r="I136" s="491"/>
      <c r="J136" s="491"/>
      <c r="K136" s="491"/>
      <c r="L136" s="491"/>
      <c r="M136" s="492"/>
      <c r="N136" s="493"/>
      <c r="O136" s="493"/>
      <c r="P136" s="493"/>
      <c r="Q136" s="493"/>
    </row>
    <row r="137" spans="1:17" ht="12.75">
      <c r="A137" s="734" t="s">
        <v>568</v>
      </c>
      <c r="B137" s="175" t="s">
        <v>405</v>
      </c>
      <c r="C137" s="641" t="s">
        <v>575</v>
      </c>
      <c r="D137" s="642"/>
      <c r="E137" s="642"/>
      <c r="F137" s="642"/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</row>
    <row r="138" spans="1:17" ht="12.75">
      <c r="A138" s="639"/>
      <c r="B138" s="175" t="s">
        <v>406</v>
      </c>
      <c r="C138" s="719" t="s">
        <v>93</v>
      </c>
      <c r="D138" s="720"/>
      <c r="E138" s="720"/>
      <c r="F138" s="720"/>
      <c r="G138" s="720"/>
      <c r="H138" s="720"/>
      <c r="I138" s="720"/>
      <c r="J138" s="720"/>
      <c r="K138" s="720"/>
      <c r="L138" s="720"/>
      <c r="M138" s="720"/>
      <c r="N138" s="720"/>
      <c r="O138" s="720"/>
      <c r="P138" s="720"/>
      <c r="Q138" s="721"/>
    </row>
    <row r="139" spans="1:17" ht="12.75">
      <c r="A139" s="639"/>
      <c r="B139" s="175" t="s">
        <v>407</v>
      </c>
      <c r="C139" s="719" t="s">
        <v>346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720"/>
      <c r="Q139" s="721"/>
    </row>
    <row r="140" spans="1:17" ht="12.75">
      <c r="A140" s="639"/>
      <c r="B140" s="175" t="s">
        <v>408</v>
      </c>
      <c r="C140" s="722" t="s">
        <v>347</v>
      </c>
      <c r="D140" s="723"/>
      <c r="E140" s="723"/>
      <c r="F140" s="723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4"/>
    </row>
    <row r="141" spans="1:17" ht="11.25">
      <c r="A141" s="639"/>
      <c r="B141" s="175" t="s">
        <v>409</v>
      </c>
      <c r="C141" s="496"/>
      <c r="D141" s="495"/>
      <c r="E141" s="482">
        <f>SUM(E142:E145)</f>
        <v>308718</v>
      </c>
      <c r="F141" s="482">
        <f>SUM(F142:F145)</f>
        <v>46308</v>
      </c>
      <c r="G141" s="482">
        <f>SUM(G142:G144)</f>
        <v>262410</v>
      </c>
      <c r="H141" s="482">
        <f>SUM(I141,M141)</f>
        <v>308718</v>
      </c>
      <c r="I141" s="482">
        <f>J141+K141+L141</f>
        <v>46308</v>
      </c>
      <c r="J141" s="482">
        <v>0</v>
      </c>
      <c r="K141" s="482">
        <v>0</v>
      </c>
      <c r="L141" s="482">
        <v>46308</v>
      </c>
      <c r="M141" s="482">
        <f>N141+O141+P141+Q141</f>
        <v>262410</v>
      </c>
      <c r="N141" s="482">
        <v>0</v>
      </c>
      <c r="O141" s="482"/>
      <c r="P141" s="482">
        <v>0</v>
      </c>
      <c r="Q141" s="482">
        <v>262410</v>
      </c>
    </row>
    <row r="142" spans="1:17" ht="11.25">
      <c r="A142" s="639"/>
      <c r="B142" s="173" t="s">
        <v>108</v>
      </c>
      <c r="C142" s="728">
        <v>73</v>
      </c>
      <c r="D142" s="730" t="s">
        <v>96</v>
      </c>
      <c r="E142" s="482">
        <f>SUM(F142:G142)</f>
        <v>308718</v>
      </c>
      <c r="F142" s="482">
        <f>SUM(I141)</f>
        <v>46308</v>
      </c>
      <c r="G142" s="484">
        <f>SUM(M141)</f>
        <v>262410</v>
      </c>
      <c r="H142" s="485"/>
      <c r="I142" s="485"/>
      <c r="J142" s="485"/>
      <c r="K142" s="485"/>
      <c r="L142" s="485"/>
      <c r="M142" s="486"/>
      <c r="N142" s="487"/>
      <c r="O142" s="487"/>
      <c r="P142" s="490"/>
      <c r="Q142" s="490"/>
    </row>
    <row r="143" spans="1:17" ht="11.25">
      <c r="A143" s="639"/>
      <c r="B143" s="173" t="s">
        <v>142</v>
      </c>
      <c r="C143" s="729"/>
      <c r="D143" s="731"/>
      <c r="E143" s="482">
        <f>SUM(F143,G143)</f>
        <v>0</v>
      </c>
      <c r="F143" s="482">
        <v>0</v>
      </c>
      <c r="G143" s="484">
        <v>0</v>
      </c>
      <c r="H143" s="488"/>
      <c r="I143" s="488"/>
      <c r="J143" s="488"/>
      <c r="K143" s="488"/>
      <c r="L143" s="488"/>
      <c r="M143" s="489"/>
      <c r="N143" s="490"/>
      <c r="O143" s="490"/>
      <c r="P143" s="490"/>
      <c r="Q143" s="490"/>
    </row>
    <row r="144" spans="1:17" ht="11.25">
      <c r="A144" s="639"/>
      <c r="B144" s="173" t="s">
        <v>549</v>
      </c>
      <c r="C144" s="729"/>
      <c r="D144" s="731"/>
      <c r="E144" s="482">
        <f>SUM(F144,G144)</f>
        <v>0</v>
      </c>
      <c r="F144" s="482">
        <v>0</v>
      </c>
      <c r="G144" s="484">
        <v>0</v>
      </c>
      <c r="H144" s="488"/>
      <c r="I144" s="488"/>
      <c r="J144" s="488"/>
      <c r="K144" s="488"/>
      <c r="L144" s="488"/>
      <c r="M144" s="489"/>
      <c r="N144" s="490"/>
      <c r="O144" s="490"/>
      <c r="P144" s="490"/>
      <c r="Q144" s="490"/>
    </row>
    <row r="145" spans="1:17" ht="11.25">
      <c r="A145" s="639"/>
      <c r="B145" s="173" t="s">
        <v>550</v>
      </c>
      <c r="C145" s="729"/>
      <c r="D145" s="731"/>
      <c r="E145" s="482">
        <f>SUM(F145,G145)</f>
        <v>0</v>
      </c>
      <c r="F145" s="482">
        <v>0</v>
      </c>
      <c r="G145" s="484">
        <v>0</v>
      </c>
      <c r="H145" s="488"/>
      <c r="I145" s="488"/>
      <c r="J145" s="488"/>
      <c r="K145" s="488"/>
      <c r="L145" s="488"/>
      <c r="M145" s="489"/>
      <c r="N145" s="490"/>
      <c r="O145" s="490"/>
      <c r="P145" s="490"/>
      <c r="Q145" s="490"/>
    </row>
    <row r="146" spans="1:17" ht="11.25">
      <c r="A146" s="640"/>
      <c r="B146" s="173" t="s">
        <v>551</v>
      </c>
      <c r="C146" s="732"/>
      <c r="D146" s="733"/>
      <c r="E146" s="482">
        <f>SUM(F146,G146)</f>
        <v>0</v>
      </c>
      <c r="F146" s="482">
        <v>0</v>
      </c>
      <c r="G146" s="484">
        <v>0</v>
      </c>
      <c r="H146" s="491"/>
      <c r="I146" s="491"/>
      <c r="J146" s="491"/>
      <c r="K146" s="491"/>
      <c r="L146" s="491"/>
      <c r="M146" s="492"/>
      <c r="N146" s="493"/>
      <c r="O146" s="493"/>
      <c r="P146" s="493"/>
      <c r="Q146" s="493"/>
    </row>
    <row r="147" spans="1:17" ht="12.75">
      <c r="A147" s="734" t="s">
        <v>569</v>
      </c>
      <c r="B147" s="175" t="s">
        <v>405</v>
      </c>
      <c r="C147" s="641" t="s">
        <v>350</v>
      </c>
      <c r="D147" s="642"/>
      <c r="E147" s="642"/>
      <c r="F147" s="642"/>
      <c r="G147" s="642"/>
      <c r="H147" s="642"/>
      <c r="I147" s="642"/>
      <c r="J147" s="642"/>
      <c r="K147" s="642"/>
      <c r="L147" s="642"/>
      <c r="M147" s="642"/>
      <c r="N147" s="642"/>
      <c r="O147" s="642"/>
      <c r="P147" s="642"/>
      <c r="Q147" s="642"/>
    </row>
    <row r="148" spans="1:17" ht="12.75">
      <c r="A148" s="639"/>
      <c r="B148" s="175" t="s">
        <v>406</v>
      </c>
      <c r="C148" s="719" t="s">
        <v>93</v>
      </c>
      <c r="D148" s="720"/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1"/>
    </row>
    <row r="149" spans="1:17" ht="12.75">
      <c r="A149" s="639"/>
      <c r="B149" s="175" t="s">
        <v>407</v>
      </c>
      <c r="C149" s="719" t="s">
        <v>346</v>
      </c>
      <c r="D149" s="720"/>
      <c r="E149" s="720"/>
      <c r="F149" s="720"/>
      <c r="G149" s="720"/>
      <c r="H149" s="720"/>
      <c r="I149" s="720"/>
      <c r="J149" s="720"/>
      <c r="K149" s="720"/>
      <c r="L149" s="720"/>
      <c r="M149" s="720"/>
      <c r="N149" s="720"/>
      <c r="O149" s="720"/>
      <c r="P149" s="720"/>
      <c r="Q149" s="721"/>
    </row>
    <row r="150" spans="1:17" ht="12.75">
      <c r="A150" s="639"/>
      <c r="B150" s="175" t="s">
        <v>408</v>
      </c>
      <c r="C150" s="722" t="s">
        <v>351</v>
      </c>
      <c r="D150" s="723"/>
      <c r="E150" s="723"/>
      <c r="F150" s="723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4"/>
    </row>
    <row r="151" spans="1:17" ht="11.25">
      <c r="A151" s="639"/>
      <c r="B151" s="175" t="s">
        <v>409</v>
      </c>
      <c r="C151" s="496"/>
      <c r="D151" s="495"/>
      <c r="E151" s="482">
        <f>SUM(E152:E155)</f>
        <v>299978</v>
      </c>
      <c r="F151" s="482">
        <f>SUM(F152:F155)</f>
        <v>44995</v>
      </c>
      <c r="G151" s="482">
        <f>SUM(G152:G154)</f>
        <v>254983</v>
      </c>
      <c r="H151" s="482">
        <f>SUM(I151,M151)</f>
        <v>211018</v>
      </c>
      <c r="I151" s="482">
        <f>J151+K151+L151</f>
        <v>31652</v>
      </c>
      <c r="J151" s="482">
        <v>0</v>
      </c>
      <c r="K151" s="482">
        <v>0</v>
      </c>
      <c r="L151" s="482">
        <v>31652</v>
      </c>
      <c r="M151" s="482">
        <f>N151+O151+P151+Q151</f>
        <v>179366</v>
      </c>
      <c r="N151" s="482">
        <v>0</v>
      </c>
      <c r="O151" s="482"/>
      <c r="P151" s="482">
        <v>0</v>
      </c>
      <c r="Q151" s="482">
        <v>179366</v>
      </c>
    </row>
    <row r="152" spans="1:17" ht="11.25">
      <c r="A152" s="639"/>
      <c r="B152" s="173" t="s">
        <v>108</v>
      </c>
      <c r="C152" s="728">
        <v>73</v>
      </c>
      <c r="D152" s="730" t="s">
        <v>96</v>
      </c>
      <c r="E152" s="482">
        <f>SUM(F152:G152)</f>
        <v>211018</v>
      </c>
      <c r="F152" s="482">
        <f>SUM(I151)</f>
        <v>31652</v>
      </c>
      <c r="G152" s="484">
        <f>SUM(M151)</f>
        <v>179366</v>
      </c>
      <c r="H152" s="485"/>
      <c r="I152" s="485"/>
      <c r="J152" s="485"/>
      <c r="K152" s="485"/>
      <c r="L152" s="485"/>
      <c r="M152" s="486"/>
      <c r="N152" s="487"/>
      <c r="O152" s="487"/>
      <c r="P152" s="490"/>
      <c r="Q152" s="490"/>
    </row>
    <row r="153" spans="1:17" ht="11.25">
      <c r="A153" s="639"/>
      <c r="B153" s="173" t="s">
        <v>142</v>
      </c>
      <c r="C153" s="729"/>
      <c r="D153" s="731"/>
      <c r="E153" s="482">
        <f>SUM(F153,G153)</f>
        <v>88960</v>
      </c>
      <c r="F153" s="482">
        <v>13343</v>
      </c>
      <c r="G153" s="484">
        <v>75617</v>
      </c>
      <c r="H153" s="488"/>
      <c r="I153" s="488"/>
      <c r="J153" s="488"/>
      <c r="K153" s="488"/>
      <c r="L153" s="488"/>
      <c r="M153" s="489"/>
      <c r="N153" s="490"/>
      <c r="O153" s="490"/>
      <c r="P153" s="490"/>
      <c r="Q153" s="490"/>
    </row>
    <row r="154" spans="1:17" ht="11.25">
      <c r="A154" s="639"/>
      <c r="B154" s="173" t="s">
        <v>549</v>
      </c>
      <c r="C154" s="729"/>
      <c r="D154" s="731"/>
      <c r="E154" s="482">
        <f>SUM(F154,G154)</f>
        <v>0</v>
      </c>
      <c r="F154" s="482">
        <v>0</v>
      </c>
      <c r="G154" s="484">
        <v>0</v>
      </c>
      <c r="H154" s="488"/>
      <c r="I154" s="488"/>
      <c r="J154" s="488"/>
      <c r="K154" s="488"/>
      <c r="L154" s="488"/>
      <c r="M154" s="489"/>
      <c r="N154" s="490"/>
      <c r="O154" s="490"/>
      <c r="P154" s="490"/>
      <c r="Q154" s="490"/>
    </row>
    <row r="155" spans="1:17" ht="11.25">
      <c r="A155" s="639"/>
      <c r="B155" s="173" t="s">
        <v>550</v>
      </c>
      <c r="C155" s="729"/>
      <c r="D155" s="731"/>
      <c r="E155" s="482">
        <f>SUM(F155,G155)</f>
        <v>0</v>
      </c>
      <c r="F155" s="482">
        <v>0</v>
      </c>
      <c r="G155" s="484">
        <v>0</v>
      </c>
      <c r="H155" s="488"/>
      <c r="I155" s="488"/>
      <c r="J155" s="488"/>
      <c r="K155" s="488"/>
      <c r="L155" s="488"/>
      <c r="M155" s="489"/>
      <c r="N155" s="490"/>
      <c r="O155" s="490"/>
      <c r="P155" s="490"/>
      <c r="Q155" s="490"/>
    </row>
    <row r="156" spans="1:17" ht="11.25">
      <c r="A156" s="640"/>
      <c r="B156" s="173" t="s">
        <v>551</v>
      </c>
      <c r="C156" s="732"/>
      <c r="D156" s="733"/>
      <c r="E156" s="482">
        <f>SUM(F156,G156)</f>
        <v>0</v>
      </c>
      <c r="F156" s="482">
        <v>0</v>
      </c>
      <c r="G156" s="484">
        <v>0</v>
      </c>
      <c r="H156" s="491"/>
      <c r="I156" s="491"/>
      <c r="J156" s="491"/>
      <c r="K156" s="491"/>
      <c r="L156" s="491"/>
      <c r="M156" s="492"/>
      <c r="N156" s="493"/>
      <c r="O156" s="493"/>
      <c r="P156" s="493"/>
      <c r="Q156" s="493"/>
    </row>
    <row r="157" spans="1:17" ht="12.75">
      <c r="A157" s="734" t="s">
        <v>570</v>
      </c>
      <c r="B157" s="175" t="s">
        <v>405</v>
      </c>
      <c r="C157" s="641" t="s">
        <v>350</v>
      </c>
      <c r="D157" s="642"/>
      <c r="E157" s="642"/>
      <c r="F157" s="642"/>
      <c r="G157" s="642"/>
      <c r="H157" s="642"/>
      <c r="I157" s="642"/>
      <c r="J157" s="642"/>
      <c r="K157" s="642"/>
      <c r="L157" s="642"/>
      <c r="M157" s="642"/>
      <c r="N157" s="642"/>
      <c r="O157" s="642"/>
      <c r="P157" s="642"/>
      <c r="Q157" s="642"/>
    </row>
    <row r="158" spans="1:17" ht="12.75">
      <c r="A158" s="639"/>
      <c r="B158" s="175" t="s">
        <v>406</v>
      </c>
      <c r="C158" s="719" t="s">
        <v>93</v>
      </c>
      <c r="D158" s="720"/>
      <c r="E158" s="720"/>
      <c r="F158" s="720"/>
      <c r="G158" s="720"/>
      <c r="H158" s="720"/>
      <c r="I158" s="720"/>
      <c r="J158" s="720"/>
      <c r="K158" s="720"/>
      <c r="L158" s="720"/>
      <c r="M158" s="720"/>
      <c r="N158" s="720"/>
      <c r="O158" s="720"/>
      <c r="P158" s="720"/>
      <c r="Q158" s="721"/>
    </row>
    <row r="159" spans="1:17" ht="12.75">
      <c r="A159" s="639"/>
      <c r="B159" s="175" t="s">
        <v>407</v>
      </c>
      <c r="C159" s="719" t="s">
        <v>346</v>
      </c>
      <c r="D159" s="720"/>
      <c r="E159" s="720"/>
      <c r="F159" s="720"/>
      <c r="G159" s="720"/>
      <c r="H159" s="720"/>
      <c r="I159" s="720"/>
      <c r="J159" s="720"/>
      <c r="K159" s="720"/>
      <c r="L159" s="720"/>
      <c r="M159" s="720"/>
      <c r="N159" s="720"/>
      <c r="O159" s="720"/>
      <c r="P159" s="720"/>
      <c r="Q159" s="721"/>
    </row>
    <row r="160" spans="1:17" ht="12.75">
      <c r="A160" s="639"/>
      <c r="B160" s="175" t="s">
        <v>408</v>
      </c>
      <c r="C160" s="722" t="s">
        <v>352</v>
      </c>
      <c r="D160" s="723"/>
      <c r="E160" s="723"/>
      <c r="F160" s="723"/>
      <c r="G160" s="723"/>
      <c r="H160" s="723"/>
      <c r="I160" s="723"/>
      <c r="J160" s="723"/>
      <c r="K160" s="723"/>
      <c r="L160" s="723"/>
      <c r="M160" s="723"/>
      <c r="N160" s="723"/>
      <c r="O160" s="723"/>
      <c r="P160" s="723"/>
      <c r="Q160" s="724"/>
    </row>
    <row r="161" spans="1:17" ht="11.25">
      <c r="A161" s="639"/>
      <c r="B161" s="175" t="s">
        <v>409</v>
      </c>
      <c r="C161" s="496"/>
      <c r="D161" s="495"/>
      <c r="E161" s="482">
        <f>SUM(E162:E165)</f>
        <v>197491</v>
      </c>
      <c r="F161" s="482">
        <f>SUM(F162:F165)</f>
        <v>29618</v>
      </c>
      <c r="G161" s="482">
        <f>SUM(G162:G164)</f>
        <v>167873</v>
      </c>
      <c r="H161" s="482">
        <f>SUM(I161,M161)</f>
        <v>197491</v>
      </c>
      <c r="I161" s="482">
        <f>J161+K161+L161</f>
        <v>29618</v>
      </c>
      <c r="J161" s="482">
        <v>0</v>
      </c>
      <c r="K161" s="482">
        <v>0</v>
      </c>
      <c r="L161" s="482">
        <v>29618</v>
      </c>
      <c r="M161" s="482">
        <f>N161+O161+P161+Q161</f>
        <v>167873</v>
      </c>
      <c r="N161" s="482">
        <v>0</v>
      </c>
      <c r="O161" s="482"/>
      <c r="P161" s="482">
        <v>0</v>
      </c>
      <c r="Q161" s="482">
        <v>167873</v>
      </c>
    </row>
    <row r="162" spans="1:17" ht="11.25">
      <c r="A162" s="639"/>
      <c r="B162" s="173" t="s">
        <v>108</v>
      </c>
      <c r="C162" s="728">
        <v>71</v>
      </c>
      <c r="D162" s="730" t="s">
        <v>96</v>
      </c>
      <c r="E162" s="482">
        <f>SUM(F162:G162)</f>
        <v>197491</v>
      </c>
      <c r="F162" s="482">
        <f>SUM(I161)</f>
        <v>29618</v>
      </c>
      <c r="G162" s="484">
        <f>SUM(M161)</f>
        <v>167873</v>
      </c>
      <c r="H162" s="485"/>
      <c r="I162" s="485"/>
      <c r="J162" s="485"/>
      <c r="K162" s="485"/>
      <c r="L162" s="485"/>
      <c r="M162" s="486"/>
      <c r="N162" s="487"/>
      <c r="O162" s="487"/>
      <c r="P162" s="490"/>
      <c r="Q162" s="490"/>
    </row>
    <row r="163" spans="1:17" ht="11.25">
      <c r="A163" s="639"/>
      <c r="B163" s="173" t="s">
        <v>142</v>
      </c>
      <c r="C163" s="729"/>
      <c r="D163" s="731"/>
      <c r="E163" s="482">
        <f>SUM(F163,G163)</f>
        <v>0</v>
      </c>
      <c r="F163" s="482">
        <v>0</v>
      </c>
      <c r="G163" s="484">
        <v>0</v>
      </c>
      <c r="H163" s="488"/>
      <c r="I163" s="488"/>
      <c r="J163" s="488"/>
      <c r="K163" s="488"/>
      <c r="L163" s="488"/>
      <c r="M163" s="489"/>
      <c r="N163" s="490"/>
      <c r="O163" s="490"/>
      <c r="P163" s="490"/>
      <c r="Q163" s="490"/>
    </row>
    <row r="164" spans="1:17" ht="11.25">
      <c r="A164" s="639"/>
      <c r="B164" s="173" t="s">
        <v>549</v>
      </c>
      <c r="C164" s="729"/>
      <c r="D164" s="731"/>
      <c r="E164" s="482">
        <f>SUM(F164,G164)</f>
        <v>0</v>
      </c>
      <c r="F164" s="482">
        <v>0</v>
      </c>
      <c r="G164" s="484">
        <v>0</v>
      </c>
      <c r="H164" s="488"/>
      <c r="I164" s="488"/>
      <c r="J164" s="488"/>
      <c r="K164" s="488"/>
      <c r="L164" s="488"/>
      <c r="M164" s="489"/>
      <c r="N164" s="490"/>
      <c r="O164" s="490"/>
      <c r="P164" s="490"/>
      <c r="Q164" s="490"/>
    </row>
    <row r="165" spans="1:17" ht="11.25">
      <c r="A165" s="639"/>
      <c r="B165" s="173" t="s">
        <v>550</v>
      </c>
      <c r="C165" s="729"/>
      <c r="D165" s="731"/>
      <c r="E165" s="482">
        <f>SUM(F165,G165)</f>
        <v>0</v>
      </c>
      <c r="F165" s="482">
        <v>0</v>
      </c>
      <c r="G165" s="484">
        <v>0</v>
      </c>
      <c r="H165" s="488"/>
      <c r="I165" s="488"/>
      <c r="J165" s="488"/>
      <c r="K165" s="488"/>
      <c r="L165" s="488"/>
      <c r="M165" s="489"/>
      <c r="N165" s="490"/>
      <c r="O165" s="490"/>
      <c r="P165" s="490"/>
      <c r="Q165" s="490"/>
    </row>
    <row r="166" spans="1:17" ht="11.25">
      <c r="A166" s="640"/>
      <c r="B166" s="173" t="s">
        <v>551</v>
      </c>
      <c r="C166" s="732"/>
      <c r="D166" s="733"/>
      <c r="E166" s="482">
        <f>SUM(F166,G166)</f>
        <v>0</v>
      </c>
      <c r="F166" s="482">
        <v>0</v>
      </c>
      <c r="G166" s="484">
        <v>0</v>
      </c>
      <c r="H166" s="491"/>
      <c r="I166" s="491"/>
      <c r="J166" s="491"/>
      <c r="K166" s="491"/>
      <c r="L166" s="491"/>
      <c r="M166" s="492"/>
      <c r="N166" s="493"/>
      <c r="O166" s="493"/>
      <c r="P166" s="493"/>
      <c r="Q166" s="493"/>
    </row>
    <row r="167" spans="1:17" ht="11.25">
      <c r="A167" s="737" t="s">
        <v>412</v>
      </c>
      <c r="B167" s="738"/>
      <c r="C167" s="737" t="s">
        <v>403</v>
      </c>
      <c r="D167" s="738"/>
      <c r="E167" s="379">
        <f aca="true" t="shared" si="2" ref="E167:Q167">SUM(E98,E14)</f>
        <v>39386884</v>
      </c>
      <c r="F167" s="379">
        <f t="shared" si="2"/>
        <v>13082873</v>
      </c>
      <c r="G167" s="379">
        <f t="shared" si="2"/>
        <v>26304011</v>
      </c>
      <c r="H167" s="379">
        <f t="shared" si="2"/>
        <v>13829176</v>
      </c>
      <c r="I167" s="379">
        <f t="shared" si="2"/>
        <v>4681745</v>
      </c>
      <c r="J167" s="379">
        <f t="shared" si="2"/>
        <v>0</v>
      </c>
      <c r="K167" s="379">
        <f t="shared" si="2"/>
        <v>0</v>
      </c>
      <c r="L167" s="379">
        <f t="shared" si="2"/>
        <v>4681745</v>
      </c>
      <c r="M167" s="379">
        <f t="shared" si="2"/>
        <v>9147431</v>
      </c>
      <c r="N167" s="379">
        <f t="shared" si="2"/>
        <v>0</v>
      </c>
      <c r="O167" s="379">
        <f t="shared" si="2"/>
        <v>0</v>
      </c>
      <c r="P167" s="379">
        <f t="shared" si="2"/>
        <v>0</v>
      </c>
      <c r="Q167" s="379">
        <f t="shared" si="2"/>
        <v>9147431</v>
      </c>
    </row>
    <row r="168" spans="1:17" ht="11.25">
      <c r="A168" s="739" t="s">
        <v>103</v>
      </c>
      <c r="B168" s="739"/>
      <c r="C168" s="739"/>
      <c r="D168" s="739"/>
      <c r="E168" s="739"/>
      <c r="F168" s="739"/>
      <c r="G168" s="739"/>
      <c r="H168" s="739"/>
      <c r="I168" s="739"/>
      <c r="J168" s="739"/>
      <c r="K168" s="380"/>
      <c r="L168" s="380"/>
      <c r="M168" s="380"/>
      <c r="N168" s="380"/>
      <c r="O168" s="380"/>
      <c r="P168" s="380"/>
      <c r="Q168" s="380"/>
    </row>
    <row r="169" spans="1:17" ht="11.25">
      <c r="A169" s="380" t="s">
        <v>104</v>
      </c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</row>
  </sheetData>
  <mergeCells count="175">
    <mergeCell ref="A137:A146"/>
    <mergeCell ref="A42:A43"/>
    <mergeCell ref="Q20:Q23"/>
    <mergeCell ref="A15:A23"/>
    <mergeCell ref="C15:Q15"/>
    <mergeCell ref="C16:Q16"/>
    <mergeCell ref="C17:Q17"/>
    <mergeCell ref="C18:Q18"/>
    <mergeCell ref="C20:C23"/>
    <mergeCell ref="D20:D23"/>
    <mergeCell ref="A147:A156"/>
    <mergeCell ref="C147:Q147"/>
    <mergeCell ref="C148:Q148"/>
    <mergeCell ref="C149:Q149"/>
    <mergeCell ref="C150:Q150"/>
    <mergeCell ref="C152:C156"/>
    <mergeCell ref="D152:D156"/>
    <mergeCell ref="C138:Q138"/>
    <mergeCell ref="C139:Q139"/>
    <mergeCell ref="C140:Q140"/>
    <mergeCell ref="I20:I23"/>
    <mergeCell ref="J20:J23"/>
    <mergeCell ref="H20:H23"/>
    <mergeCell ref="C45:Q45"/>
    <mergeCell ref="P38:P41"/>
    <mergeCell ref="C36:Q36"/>
    <mergeCell ref="C38:C41"/>
    <mergeCell ref="C142:C146"/>
    <mergeCell ref="D142:D146"/>
    <mergeCell ref="A127:A136"/>
    <mergeCell ref="C127:Q127"/>
    <mergeCell ref="C128:Q128"/>
    <mergeCell ref="C129:Q129"/>
    <mergeCell ref="C130:Q130"/>
    <mergeCell ref="C132:C136"/>
    <mergeCell ref="D132:D136"/>
    <mergeCell ref="C137:Q137"/>
    <mergeCell ref="A33:A41"/>
    <mergeCell ref="C42:Q42"/>
    <mergeCell ref="C43:Q43"/>
    <mergeCell ref="C44:Q44"/>
    <mergeCell ref="K38:K41"/>
    <mergeCell ref="Q38:Q41"/>
    <mergeCell ref="L38:L41"/>
    <mergeCell ref="M38:M41"/>
    <mergeCell ref="C34:Q34"/>
    <mergeCell ref="O38:O41"/>
    <mergeCell ref="D38:D41"/>
    <mergeCell ref="H38:H41"/>
    <mergeCell ref="I38:I41"/>
    <mergeCell ref="J38:J41"/>
    <mergeCell ref="N38:N41"/>
    <mergeCell ref="A24:A32"/>
    <mergeCell ref="C29:C32"/>
    <mergeCell ref="D29:D32"/>
    <mergeCell ref="H29:H32"/>
    <mergeCell ref="C27:Q27"/>
    <mergeCell ref="I29:I32"/>
    <mergeCell ref="J29:J32"/>
    <mergeCell ref="K29:K32"/>
    <mergeCell ref="L29:L32"/>
    <mergeCell ref="C14:D14"/>
    <mergeCell ref="C24:Q24"/>
    <mergeCell ref="C25:Q25"/>
    <mergeCell ref="C26:Q26"/>
    <mergeCell ref="K20:K23"/>
    <mergeCell ref="L20:L23"/>
    <mergeCell ref="M20:M23"/>
    <mergeCell ref="N20:N23"/>
    <mergeCell ref="O20:O23"/>
    <mergeCell ref="P20:P23"/>
    <mergeCell ref="C33:Q33"/>
    <mergeCell ref="N29:N32"/>
    <mergeCell ref="O29:O32"/>
    <mergeCell ref="P29:P32"/>
    <mergeCell ref="Q29:Q32"/>
    <mergeCell ref="M29:M32"/>
    <mergeCell ref="C35:Q35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47:H49"/>
    <mergeCell ref="I47:I49"/>
    <mergeCell ref="J47:J49"/>
    <mergeCell ref="K47:K49"/>
    <mergeCell ref="L47:L49"/>
    <mergeCell ref="M47:M49"/>
    <mergeCell ref="N47:N49"/>
    <mergeCell ref="O47:O49"/>
    <mergeCell ref="C79:Q79"/>
    <mergeCell ref="C80:Q80"/>
    <mergeCell ref="C52:Q52"/>
    <mergeCell ref="C53:Q53"/>
    <mergeCell ref="C54:Q54"/>
    <mergeCell ref="C55:C60"/>
    <mergeCell ref="D55:D60"/>
    <mergeCell ref="A61:A69"/>
    <mergeCell ref="C61:Q61"/>
    <mergeCell ref="C62:Q62"/>
    <mergeCell ref="C63:Q63"/>
    <mergeCell ref="C64:Q64"/>
    <mergeCell ref="C65:C69"/>
    <mergeCell ref="D65:D69"/>
    <mergeCell ref="C81:Q81"/>
    <mergeCell ref="C82:Q82"/>
    <mergeCell ref="A88:A97"/>
    <mergeCell ref="C88:Q88"/>
    <mergeCell ref="C89:Q89"/>
    <mergeCell ref="C90:Q90"/>
    <mergeCell ref="C91:Q91"/>
    <mergeCell ref="C93:C97"/>
    <mergeCell ref="D93:D97"/>
    <mergeCell ref="A79:A87"/>
    <mergeCell ref="C102:Q102"/>
    <mergeCell ref="D105:D107"/>
    <mergeCell ref="C84:C87"/>
    <mergeCell ref="D84:D87"/>
    <mergeCell ref="C98:D98"/>
    <mergeCell ref="C99:Q99"/>
    <mergeCell ref="C100:Q100"/>
    <mergeCell ref="C101:Q101"/>
    <mergeCell ref="A168:J168"/>
    <mergeCell ref="A157:A166"/>
    <mergeCell ref="C157:Q157"/>
    <mergeCell ref="C158:Q158"/>
    <mergeCell ref="C159:Q159"/>
    <mergeCell ref="C160:Q160"/>
    <mergeCell ref="C162:C166"/>
    <mergeCell ref="D162:D166"/>
    <mergeCell ref="C51:Q51"/>
    <mergeCell ref="A167:B167"/>
    <mergeCell ref="C167:D167"/>
    <mergeCell ref="A118:A126"/>
    <mergeCell ref="C118:Q118"/>
    <mergeCell ref="C119:Q119"/>
    <mergeCell ref="C120:Q120"/>
    <mergeCell ref="C121:Q121"/>
    <mergeCell ref="C123:C126"/>
    <mergeCell ref="D123:D126"/>
    <mergeCell ref="A108:A117"/>
    <mergeCell ref="C75:C78"/>
    <mergeCell ref="D75:D78"/>
    <mergeCell ref="C113:C117"/>
    <mergeCell ref="D113:D117"/>
    <mergeCell ref="C108:Q108"/>
    <mergeCell ref="C109:Q109"/>
    <mergeCell ref="C110:Q110"/>
    <mergeCell ref="C111:Q111"/>
    <mergeCell ref="A70:A78"/>
    <mergeCell ref="C47:C50"/>
    <mergeCell ref="D47:D50"/>
    <mergeCell ref="A105:A107"/>
    <mergeCell ref="C70:Q70"/>
    <mergeCell ref="C71:Q71"/>
    <mergeCell ref="C72:Q72"/>
    <mergeCell ref="C73:Q73"/>
    <mergeCell ref="P47:P49"/>
    <mergeCell ref="Q47:Q49"/>
    <mergeCell ref="A51:A60"/>
  </mergeCells>
  <printOptions/>
  <pageMargins left="0.17" right="0.25" top="0.84" bottom="0.5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2"/>
  <sheetViews>
    <sheetView workbookViewId="0" topLeftCell="A1">
      <selection activeCell="J12" sqref="J12"/>
    </sheetView>
  </sheetViews>
  <sheetFormatPr defaultColWidth="9.00390625" defaultRowHeight="12.75"/>
  <cols>
    <col min="1" max="1" width="4.875" style="45" bestFit="1" customWidth="1"/>
    <col min="2" max="2" width="6.875" style="45" customWidth="1"/>
    <col min="3" max="3" width="7.125" style="45" customWidth="1"/>
    <col min="4" max="4" width="33.625" style="46" customWidth="1"/>
    <col min="5" max="5" width="14.25390625" style="33" customWidth="1"/>
    <col min="6" max="6" width="13.25390625" style="48" customWidth="1"/>
    <col min="7" max="7" width="12.875" style="584" customWidth="1"/>
    <col min="8" max="16384" width="9.125" style="46" customWidth="1"/>
  </cols>
  <sheetData>
    <row r="1" spans="5:7" ht="12.75">
      <c r="E1" s="579"/>
      <c r="F1" s="46"/>
      <c r="G1" s="35" t="s">
        <v>21</v>
      </c>
    </row>
    <row r="2" spans="5:7" ht="14.25">
      <c r="E2" s="579"/>
      <c r="F2" s="579"/>
      <c r="G2" s="47" t="s">
        <v>582</v>
      </c>
    </row>
    <row r="3" spans="5:7" ht="14.25">
      <c r="E3" s="579"/>
      <c r="F3" s="579"/>
      <c r="G3" s="47" t="s">
        <v>337</v>
      </c>
    </row>
    <row r="4" ht="3.75" customHeight="1">
      <c r="G4" s="580"/>
    </row>
    <row r="5" ht="3" customHeight="1">
      <c r="G5" s="31"/>
    </row>
    <row r="6" spans="1:7" ht="12.75">
      <c r="A6" s="760" t="s">
        <v>356</v>
      </c>
      <c r="B6" s="760"/>
      <c r="C6" s="760"/>
      <c r="D6" s="760"/>
      <c r="E6" s="760"/>
      <c r="F6" s="760"/>
      <c r="G6" s="760"/>
    </row>
    <row r="7" spans="1:7" ht="12.75">
      <c r="A7" s="760" t="s">
        <v>541</v>
      </c>
      <c r="B7" s="760"/>
      <c r="C7" s="760"/>
      <c r="D7" s="760"/>
      <c r="E7" s="760"/>
      <c r="F7" s="760"/>
      <c r="G7" s="760"/>
    </row>
    <row r="8" spans="2:4" ht="4.5" customHeight="1">
      <c r="B8" s="581"/>
      <c r="C8" s="582"/>
      <c r="D8" s="583"/>
    </row>
    <row r="9" spans="1:7" s="51" customFormat="1" ht="48.75" customHeight="1">
      <c r="A9" s="570" t="s">
        <v>207</v>
      </c>
      <c r="B9" s="570" t="s">
        <v>208</v>
      </c>
      <c r="C9" s="570" t="s">
        <v>304</v>
      </c>
      <c r="D9" s="153" t="s">
        <v>209</v>
      </c>
      <c r="E9" s="571" t="s">
        <v>455</v>
      </c>
      <c r="F9" s="585" t="s">
        <v>211</v>
      </c>
      <c r="G9" s="571" t="s">
        <v>554</v>
      </c>
    </row>
    <row r="10" spans="1:7" s="52" customFormat="1" ht="9.75" customHeight="1">
      <c r="A10" s="152">
        <v>1</v>
      </c>
      <c r="B10" s="152">
        <v>2</v>
      </c>
      <c r="C10" s="152">
        <v>3</v>
      </c>
      <c r="D10" s="240">
        <v>4</v>
      </c>
      <c r="E10" s="240">
        <v>5</v>
      </c>
      <c r="F10" s="246">
        <v>6</v>
      </c>
      <c r="G10" s="246">
        <v>7</v>
      </c>
    </row>
    <row r="11" spans="1:7" s="587" customFormat="1" ht="12.75">
      <c r="A11" s="241" t="s">
        <v>305</v>
      </c>
      <c r="B11" s="242"/>
      <c r="C11" s="242"/>
      <c r="D11" s="29" t="s">
        <v>306</v>
      </c>
      <c r="E11" s="586">
        <f>E12</f>
        <v>10000</v>
      </c>
      <c r="F11" s="586">
        <f>F12</f>
        <v>10000</v>
      </c>
      <c r="G11" s="239">
        <f>SUM(G15)</f>
        <v>3510</v>
      </c>
    </row>
    <row r="12" spans="1:7" s="587" customFormat="1" ht="25.5">
      <c r="A12" s="241"/>
      <c r="B12" s="588" t="s">
        <v>307</v>
      </c>
      <c r="C12" s="242"/>
      <c r="D12" s="29" t="s">
        <v>308</v>
      </c>
      <c r="E12" s="586">
        <f>SUM(E13)</f>
        <v>10000</v>
      </c>
      <c r="F12" s="151">
        <f>SUM(F13:F14)</f>
        <v>10000</v>
      </c>
      <c r="G12" s="589">
        <v>0</v>
      </c>
    </row>
    <row r="13" spans="1:7" s="587" customFormat="1" ht="45.75" customHeight="1">
      <c r="A13" s="245"/>
      <c r="B13" s="588"/>
      <c r="C13" s="243" t="s">
        <v>309</v>
      </c>
      <c r="D13" s="590" t="s">
        <v>310</v>
      </c>
      <c r="E13" s="168">
        <v>10000</v>
      </c>
      <c r="F13" s="248"/>
      <c r="G13" s="368"/>
    </row>
    <row r="14" spans="1:7" s="587" customFormat="1" ht="12.75">
      <c r="A14" s="245"/>
      <c r="B14" s="578"/>
      <c r="C14" s="591">
        <v>4300</v>
      </c>
      <c r="D14" s="592" t="s">
        <v>456</v>
      </c>
      <c r="E14" s="586"/>
      <c r="F14" s="248">
        <v>10000</v>
      </c>
      <c r="G14" s="368"/>
    </row>
    <row r="15" spans="1:7" s="587" customFormat="1" ht="12.75">
      <c r="A15" s="245"/>
      <c r="B15" s="588" t="s">
        <v>555</v>
      </c>
      <c r="C15" s="242"/>
      <c r="D15" s="29" t="s">
        <v>556</v>
      </c>
      <c r="E15" s="586">
        <f>SUM(E16)</f>
        <v>0</v>
      </c>
      <c r="F15" s="151">
        <f>SUM(F16)</f>
        <v>0</v>
      </c>
      <c r="G15" s="151">
        <f>SUM(G16)</f>
        <v>3510</v>
      </c>
    </row>
    <row r="16" spans="1:7" s="587" customFormat="1" ht="33.75">
      <c r="A16" s="244"/>
      <c r="B16" s="242"/>
      <c r="C16" s="242" t="s">
        <v>457</v>
      </c>
      <c r="D16" s="590" t="s">
        <v>458</v>
      </c>
      <c r="E16" s="168"/>
      <c r="F16" s="248"/>
      <c r="G16" s="248">
        <f>4000-490</f>
        <v>3510</v>
      </c>
    </row>
    <row r="17" spans="1:7" s="587" customFormat="1" ht="12.75">
      <c r="A17" s="244" t="s">
        <v>312</v>
      </c>
      <c r="B17" s="244"/>
      <c r="C17" s="242"/>
      <c r="D17" s="29" t="s">
        <v>313</v>
      </c>
      <c r="E17" s="586">
        <f>SUM(E18)</f>
        <v>19000</v>
      </c>
      <c r="F17" s="151">
        <f>SUM(F18)</f>
        <v>19000</v>
      </c>
      <c r="G17" s="151">
        <f>SUM(G18)</f>
        <v>890000</v>
      </c>
    </row>
    <row r="18" spans="1:7" s="587" customFormat="1" ht="10.5" customHeight="1">
      <c r="A18" s="241"/>
      <c r="B18" s="242" t="s">
        <v>314</v>
      </c>
      <c r="C18" s="242"/>
      <c r="D18" s="616" t="s">
        <v>315</v>
      </c>
      <c r="E18" s="586">
        <f>SUM(E19:E32)</f>
        <v>19000</v>
      </c>
      <c r="F18" s="586">
        <f>SUM(F19:F32)</f>
        <v>19000</v>
      </c>
      <c r="G18" s="239">
        <f>SUM(G19:G32)</f>
        <v>890000</v>
      </c>
    </row>
    <row r="19" spans="1:7" s="587" customFormat="1" ht="46.5" customHeight="1">
      <c r="A19" s="245"/>
      <c r="B19" s="241"/>
      <c r="C19" s="242" t="s">
        <v>309</v>
      </c>
      <c r="D19" s="590" t="s">
        <v>310</v>
      </c>
      <c r="E19" s="593">
        <v>19000</v>
      </c>
      <c r="F19" s="248"/>
      <c r="G19" s="368"/>
    </row>
    <row r="20" spans="1:8" s="587" customFormat="1" ht="12.75" hidden="1">
      <c r="A20" s="245"/>
      <c r="B20" s="245"/>
      <c r="C20" s="242" t="s">
        <v>459</v>
      </c>
      <c r="D20" s="590" t="s">
        <v>460</v>
      </c>
      <c r="E20" s="593"/>
      <c r="F20" s="248">
        <v>0</v>
      </c>
      <c r="G20" s="368"/>
      <c r="H20" s="594"/>
    </row>
    <row r="21" spans="1:7" s="587" customFormat="1" ht="12.75" hidden="1">
      <c r="A21" s="245"/>
      <c r="B21" s="245"/>
      <c r="C21" s="242" t="s">
        <v>461</v>
      </c>
      <c r="D21" s="590" t="s">
        <v>462</v>
      </c>
      <c r="E21" s="593"/>
      <c r="F21" s="248">
        <v>0</v>
      </c>
      <c r="G21" s="368"/>
    </row>
    <row r="22" spans="1:7" s="587" customFormat="1" ht="12.75" hidden="1">
      <c r="A22" s="245"/>
      <c r="B22" s="245"/>
      <c r="C22" s="242" t="s">
        <v>463</v>
      </c>
      <c r="D22" s="590" t="s">
        <v>464</v>
      </c>
      <c r="E22" s="593"/>
      <c r="F22" s="248">
        <v>0</v>
      </c>
      <c r="G22" s="368"/>
    </row>
    <row r="23" spans="1:7" s="587" customFormat="1" ht="12.75" hidden="1">
      <c r="A23" s="245"/>
      <c r="B23" s="245"/>
      <c r="C23" s="242" t="s">
        <v>465</v>
      </c>
      <c r="D23" s="590" t="s">
        <v>466</v>
      </c>
      <c r="E23" s="593"/>
      <c r="F23" s="248">
        <v>0</v>
      </c>
      <c r="G23" s="368"/>
    </row>
    <row r="24" spans="1:7" s="587" customFormat="1" ht="12.75">
      <c r="A24" s="245"/>
      <c r="B24" s="245"/>
      <c r="C24" s="242" t="s">
        <v>467</v>
      </c>
      <c r="D24" s="590" t="s">
        <v>456</v>
      </c>
      <c r="E24" s="593"/>
      <c r="F24" s="248">
        <v>15500</v>
      </c>
      <c r="G24" s="368"/>
    </row>
    <row r="25" spans="1:7" s="587" customFormat="1" ht="22.5">
      <c r="A25" s="245"/>
      <c r="B25" s="245"/>
      <c r="C25" s="242" t="s">
        <v>468</v>
      </c>
      <c r="D25" s="590" t="s">
        <v>469</v>
      </c>
      <c r="E25" s="593"/>
      <c r="F25" s="248">
        <v>2000</v>
      </c>
      <c r="G25" s="368"/>
    </row>
    <row r="26" spans="1:7" s="587" customFormat="1" ht="22.5" hidden="1">
      <c r="A26" s="245"/>
      <c r="B26" s="245"/>
      <c r="C26" s="242" t="s">
        <v>470</v>
      </c>
      <c r="D26" s="446" t="s">
        <v>471</v>
      </c>
      <c r="E26" s="593"/>
      <c r="F26" s="248">
        <v>0</v>
      </c>
      <c r="G26" s="368"/>
    </row>
    <row r="27" spans="1:7" s="587" customFormat="1" ht="12.75">
      <c r="A27" s="245"/>
      <c r="B27" s="245"/>
      <c r="C27" s="242" t="s">
        <v>472</v>
      </c>
      <c r="D27" s="590" t="s">
        <v>473</v>
      </c>
      <c r="E27" s="593"/>
      <c r="F27" s="248">
        <v>1000</v>
      </c>
      <c r="G27" s="368"/>
    </row>
    <row r="28" spans="1:7" s="587" customFormat="1" ht="12.75" hidden="1">
      <c r="A28" s="245"/>
      <c r="B28" s="245"/>
      <c r="C28" s="242" t="s">
        <v>474</v>
      </c>
      <c r="D28" s="446" t="s">
        <v>475</v>
      </c>
      <c r="E28" s="593"/>
      <c r="F28" s="248">
        <v>0</v>
      </c>
      <c r="G28" s="368"/>
    </row>
    <row r="29" spans="1:7" s="587" customFormat="1" ht="22.5" hidden="1">
      <c r="A29" s="245"/>
      <c r="B29" s="245"/>
      <c r="C29" s="242" t="s">
        <v>476</v>
      </c>
      <c r="D29" s="446" t="s">
        <v>477</v>
      </c>
      <c r="E29" s="593"/>
      <c r="F29" s="248">
        <v>0</v>
      </c>
      <c r="G29" s="368"/>
    </row>
    <row r="30" spans="1:7" s="587" customFormat="1" ht="22.5" hidden="1">
      <c r="A30" s="245"/>
      <c r="B30" s="245"/>
      <c r="C30" s="242" t="s">
        <v>478</v>
      </c>
      <c r="D30" s="446" t="s">
        <v>479</v>
      </c>
      <c r="E30" s="593"/>
      <c r="F30" s="248">
        <v>0</v>
      </c>
      <c r="G30" s="368"/>
    </row>
    <row r="31" spans="1:7" s="587" customFormat="1" ht="22.5">
      <c r="A31" s="245"/>
      <c r="B31" s="245"/>
      <c r="C31" s="242" t="s">
        <v>480</v>
      </c>
      <c r="D31" s="446" t="s">
        <v>481</v>
      </c>
      <c r="E31" s="593"/>
      <c r="F31" s="248">
        <v>500</v>
      </c>
      <c r="G31" s="368"/>
    </row>
    <row r="32" spans="1:7" s="587" customFormat="1" ht="33.75">
      <c r="A32" s="245"/>
      <c r="B32" s="244"/>
      <c r="C32" s="242" t="s">
        <v>457</v>
      </c>
      <c r="D32" s="590" t="s">
        <v>458</v>
      </c>
      <c r="E32" s="586"/>
      <c r="F32" s="248"/>
      <c r="G32" s="248">
        <v>890000</v>
      </c>
    </row>
    <row r="33" spans="1:7" s="587" customFormat="1" ht="12.75">
      <c r="A33" s="241" t="s">
        <v>316</v>
      </c>
      <c r="B33" s="242"/>
      <c r="C33" s="242"/>
      <c r="D33" s="29" t="s">
        <v>317</v>
      </c>
      <c r="E33" s="586">
        <f>SUM(E34,E37,E40)</f>
        <v>337543</v>
      </c>
      <c r="F33" s="239">
        <f>SUM(F34,F37,F40)</f>
        <v>337543</v>
      </c>
      <c r="G33" s="239">
        <f>SUM(G34,G37,G40)</f>
        <v>0</v>
      </c>
    </row>
    <row r="34" spans="1:7" s="587" customFormat="1" ht="12" customHeight="1">
      <c r="A34" s="241"/>
      <c r="B34" s="243" t="s">
        <v>318</v>
      </c>
      <c r="C34" s="242"/>
      <c r="D34" s="29" t="s">
        <v>319</v>
      </c>
      <c r="E34" s="586">
        <f>SUM(E35)</f>
        <v>35000</v>
      </c>
      <c r="F34" s="151">
        <f>SUM(F35:F36)</f>
        <v>35000</v>
      </c>
      <c r="G34" s="151">
        <f>SUM(G35:G36)</f>
        <v>0</v>
      </c>
    </row>
    <row r="35" spans="1:7" s="587" customFormat="1" ht="45.75" customHeight="1">
      <c r="A35" s="245"/>
      <c r="B35" s="588"/>
      <c r="C35" s="242" t="s">
        <v>309</v>
      </c>
      <c r="D35" s="590" t="s">
        <v>310</v>
      </c>
      <c r="E35" s="168">
        <v>35000</v>
      </c>
      <c r="F35" s="248"/>
      <c r="G35" s="368"/>
    </row>
    <row r="36" spans="1:7" s="587" customFormat="1" ht="12.75">
      <c r="A36" s="245"/>
      <c r="B36" s="578"/>
      <c r="C36" s="242" t="s">
        <v>467</v>
      </c>
      <c r="D36" s="590" t="s">
        <v>456</v>
      </c>
      <c r="E36" s="586"/>
      <c r="F36" s="248">
        <v>35000</v>
      </c>
      <c r="G36" s="368"/>
    </row>
    <row r="37" spans="1:7" s="587" customFormat="1" ht="25.5">
      <c r="A37" s="245"/>
      <c r="B37" s="588" t="s">
        <v>320</v>
      </c>
      <c r="C37" s="242"/>
      <c r="D37" s="29" t="s">
        <v>321</v>
      </c>
      <c r="E37" s="586">
        <f>SUM(E38)</f>
        <v>10000</v>
      </c>
      <c r="F37" s="151">
        <f>SUM(F38:F39)</f>
        <v>10000</v>
      </c>
      <c r="G37" s="151">
        <f>SUM(G38:G39)</f>
        <v>0</v>
      </c>
    </row>
    <row r="38" spans="1:7" s="587" customFormat="1" ht="45.75" customHeight="1">
      <c r="A38" s="245"/>
      <c r="B38" s="588"/>
      <c r="C38" s="243" t="s">
        <v>309</v>
      </c>
      <c r="D38" s="590" t="s">
        <v>310</v>
      </c>
      <c r="E38" s="593">
        <v>10000</v>
      </c>
      <c r="F38" s="248"/>
      <c r="G38" s="368"/>
    </row>
    <row r="39" spans="1:7" s="587" customFormat="1" ht="12.75">
      <c r="A39" s="245"/>
      <c r="B39" s="578"/>
      <c r="C39" s="578" t="s">
        <v>467</v>
      </c>
      <c r="D39" s="575" t="s">
        <v>456</v>
      </c>
      <c r="E39" s="595"/>
      <c r="F39" s="403">
        <v>10000</v>
      </c>
      <c r="G39" s="574"/>
    </row>
    <row r="40" spans="1:7" s="587" customFormat="1" ht="12.75">
      <c r="A40" s="245"/>
      <c r="B40" s="588" t="s">
        <v>322</v>
      </c>
      <c r="C40" s="242"/>
      <c r="D40" s="29" t="s">
        <v>323</v>
      </c>
      <c r="E40" s="586">
        <f>SUM(E41:E55)</f>
        <v>292543</v>
      </c>
      <c r="F40" s="586">
        <f>SUM(F42:F58)</f>
        <v>292543</v>
      </c>
      <c r="G40" s="239">
        <f>SUM(G41:G55)</f>
        <v>0</v>
      </c>
    </row>
    <row r="41" spans="1:7" s="587" customFormat="1" ht="45.75" customHeight="1">
      <c r="A41" s="245"/>
      <c r="B41" s="588"/>
      <c r="C41" s="578" t="s">
        <v>309</v>
      </c>
      <c r="D41" s="575" t="s">
        <v>310</v>
      </c>
      <c r="E41" s="595">
        <v>292543</v>
      </c>
      <c r="F41" s="403"/>
      <c r="G41" s="574"/>
    </row>
    <row r="42" spans="1:7" s="587" customFormat="1" ht="12.75">
      <c r="A42" s="245"/>
      <c r="B42" s="577"/>
      <c r="C42" s="243" t="s">
        <v>482</v>
      </c>
      <c r="D42" s="590" t="s">
        <v>566</v>
      </c>
      <c r="E42" s="593"/>
      <c r="F42" s="248">
        <v>56644</v>
      </c>
      <c r="G42" s="368"/>
    </row>
    <row r="43" spans="1:7" s="587" customFormat="1" ht="22.5">
      <c r="A43" s="245"/>
      <c r="B43" s="577"/>
      <c r="C43" s="578" t="s">
        <v>483</v>
      </c>
      <c r="D43" s="575" t="s">
        <v>484</v>
      </c>
      <c r="E43" s="595"/>
      <c r="F43" s="403">
        <v>135094</v>
      </c>
      <c r="G43" s="574"/>
    </row>
    <row r="44" spans="1:7" s="587" customFormat="1" ht="12.75">
      <c r="A44" s="573"/>
      <c r="B44" s="615"/>
      <c r="C44" s="243" t="s">
        <v>485</v>
      </c>
      <c r="D44" s="590" t="s">
        <v>486</v>
      </c>
      <c r="E44" s="593"/>
      <c r="F44" s="248">
        <v>14610</v>
      </c>
      <c r="G44" s="368"/>
    </row>
    <row r="45" spans="1:7" s="587" customFormat="1" ht="12.75">
      <c r="A45" s="245"/>
      <c r="B45" s="577"/>
      <c r="C45" s="243" t="s">
        <v>459</v>
      </c>
      <c r="D45" s="590" t="s">
        <v>460</v>
      </c>
      <c r="E45" s="593"/>
      <c r="F45" s="248">
        <v>32465</v>
      </c>
      <c r="G45" s="368"/>
    </row>
    <row r="46" spans="1:7" s="587" customFormat="1" ht="12.75">
      <c r="A46" s="245"/>
      <c r="B46" s="577"/>
      <c r="C46" s="578" t="s">
        <v>461</v>
      </c>
      <c r="D46" s="575" t="s">
        <v>462</v>
      </c>
      <c r="E46" s="595"/>
      <c r="F46" s="403">
        <v>4953</v>
      </c>
      <c r="G46" s="574"/>
    </row>
    <row r="47" spans="1:7" s="587" customFormat="1" ht="12.75">
      <c r="A47" s="245"/>
      <c r="B47" s="577"/>
      <c r="C47" s="243" t="s">
        <v>463</v>
      </c>
      <c r="D47" s="590" t="s">
        <v>464</v>
      </c>
      <c r="E47" s="593"/>
      <c r="F47" s="248">
        <v>2400</v>
      </c>
      <c r="G47" s="368"/>
    </row>
    <row r="48" spans="1:7" s="587" customFormat="1" ht="12.75">
      <c r="A48" s="573"/>
      <c r="B48" s="615"/>
      <c r="C48" s="243" t="s">
        <v>487</v>
      </c>
      <c r="D48" s="590" t="s">
        <v>488</v>
      </c>
      <c r="E48" s="593"/>
      <c r="F48" s="248">
        <f>7841-145</f>
        <v>7696</v>
      </c>
      <c r="G48" s="368"/>
    </row>
    <row r="49" spans="1:7" s="587" customFormat="1" ht="12.75">
      <c r="A49" s="573"/>
      <c r="B49" s="615"/>
      <c r="C49" s="243" t="s">
        <v>465</v>
      </c>
      <c r="D49" s="600" t="s">
        <v>564</v>
      </c>
      <c r="E49" s="593"/>
      <c r="F49" s="248">
        <v>300</v>
      </c>
      <c r="G49" s="368"/>
    </row>
    <row r="50" spans="1:7" s="587" customFormat="1" ht="12.75" hidden="1">
      <c r="A50" s="573"/>
      <c r="B50" s="615"/>
      <c r="C50" s="243" t="s">
        <v>489</v>
      </c>
      <c r="D50" s="601" t="s">
        <v>490</v>
      </c>
      <c r="E50" s="593"/>
      <c r="F50" s="248">
        <v>0</v>
      </c>
      <c r="G50" s="368"/>
    </row>
    <row r="51" spans="1:7" s="587" customFormat="1" ht="12.75">
      <c r="A51" s="244"/>
      <c r="B51" s="578"/>
      <c r="C51" s="243" t="s">
        <v>467</v>
      </c>
      <c r="D51" s="590" t="s">
        <v>456</v>
      </c>
      <c r="E51" s="593"/>
      <c r="F51" s="248">
        <v>21000</v>
      </c>
      <c r="G51" s="368"/>
    </row>
    <row r="52" spans="1:7" s="587" customFormat="1" ht="22.5">
      <c r="A52" s="241" t="s">
        <v>316</v>
      </c>
      <c r="B52" s="588" t="s">
        <v>322</v>
      </c>
      <c r="C52" s="243" t="s">
        <v>491</v>
      </c>
      <c r="D52" s="590" t="s">
        <v>492</v>
      </c>
      <c r="E52" s="593"/>
      <c r="F52" s="248">
        <v>6000</v>
      </c>
      <c r="G52" s="368"/>
    </row>
    <row r="53" spans="1:7" s="587" customFormat="1" ht="12.75">
      <c r="A53" s="597"/>
      <c r="B53" s="241"/>
      <c r="C53" s="243" t="s">
        <v>472</v>
      </c>
      <c r="D53" s="590" t="s">
        <v>495</v>
      </c>
      <c r="E53" s="593"/>
      <c r="F53" s="248">
        <v>1400</v>
      </c>
      <c r="G53" s="368"/>
    </row>
    <row r="54" spans="1:7" s="587" customFormat="1" ht="12.75" hidden="1">
      <c r="A54" s="599"/>
      <c r="B54" s="245"/>
      <c r="C54" s="578" t="s">
        <v>472</v>
      </c>
      <c r="D54" s="575" t="s">
        <v>495</v>
      </c>
      <c r="E54" s="595"/>
      <c r="F54" s="403">
        <v>0</v>
      </c>
      <c r="G54" s="574"/>
    </row>
    <row r="55" spans="1:7" s="587" customFormat="1" ht="22.5">
      <c r="A55" s="599"/>
      <c r="B55" s="245"/>
      <c r="C55" s="243" t="s">
        <v>496</v>
      </c>
      <c r="D55" s="590" t="s">
        <v>497</v>
      </c>
      <c r="E55" s="593"/>
      <c r="F55" s="248">
        <v>5153</v>
      </c>
      <c r="G55" s="368"/>
    </row>
    <row r="56" spans="1:7" s="587" customFormat="1" ht="22.5">
      <c r="A56" s="599"/>
      <c r="B56" s="245"/>
      <c r="C56" s="243" t="s">
        <v>478</v>
      </c>
      <c r="D56" s="446" t="s">
        <v>479</v>
      </c>
      <c r="E56" s="593"/>
      <c r="F56" s="248">
        <v>145</v>
      </c>
      <c r="G56" s="368"/>
    </row>
    <row r="57" spans="1:7" s="587" customFormat="1" ht="22.5">
      <c r="A57" s="599"/>
      <c r="B57" s="245"/>
      <c r="C57" s="243" t="s">
        <v>498</v>
      </c>
      <c r="D57" s="590" t="s">
        <v>499</v>
      </c>
      <c r="E57" s="593"/>
      <c r="F57" s="248">
        <v>683</v>
      </c>
      <c r="G57" s="368"/>
    </row>
    <row r="58" spans="1:7" s="587" customFormat="1" ht="22.5">
      <c r="A58" s="596"/>
      <c r="B58" s="244"/>
      <c r="C58" s="243" t="s">
        <v>480</v>
      </c>
      <c r="D58" s="590" t="s">
        <v>481</v>
      </c>
      <c r="E58" s="593"/>
      <c r="F58" s="248">
        <v>4000</v>
      </c>
      <c r="G58" s="368"/>
    </row>
    <row r="59" spans="1:7" s="587" customFormat="1" ht="12.75">
      <c r="A59" s="245" t="s">
        <v>325</v>
      </c>
      <c r="B59" s="244"/>
      <c r="C59" s="242"/>
      <c r="D59" s="29" t="s">
        <v>326</v>
      </c>
      <c r="E59" s="586">
        <f>SUM(E60,E71)</f>
        <v>242436</v>
      </c>
      <c r="F59" s="239">
        <f>SUM(F60,F71)</f>
        <v>242436</v>
      </c>
      <c r="G59" s="239">
        <f>SUM(G60,G71)</f>
        <v>0</v>
      </c>
    </row>
    <row r="60" spans="1:7" s="587" customFormat="1" ht="12.75">
      <c r="A60" s="241"/>
      <c r="B60" s="243" t="s">
        <v>327</v>
      </c>
      <c r="C60" s="242"/>
      <c r="D60" s="29" t="s">
        <v>328</v>
      </c>
      <c r="E60" s="586">
        <f>SUM(E61)</f>
        <v>213436</v>
      </c>
      <c r="F60" s="151">
        <f>SUM(F62:F70)</f>
        <v>213436</v>
      </c>
      <c r="G60" s="151">
        <f>SUM(G62:G64)</f>
        <v>0</v>
      </c>
    </row>
    <row r="61" spans="1:7" s="587" customFormat="1" ht="30" customHeight="1">
      <c r="A61" s="245"/>
      <c r="B61" s="588"/>
      <c r="C61" s="242" t="s">
        <v>309</v>
      </c>
      <c r="D61" s="620" t="s">
        <v>310</v>
      </c>
      <c r="E61" s="168">
        <v>213436</v>
      </c>
      <c r="F61" s="248"/>
      <c r="G61" s="368"/>
    </row>
    <row r="62" spans="1:7" s="587" customFormat="1" ht="12.75">
      <c r="A62" s="245"/>
      <c r="B62" s="577"/>
      <c r="C62" s="242" t="s">
        <v>482</v>
      </c>
      <c r="D62" s="590" t="s">
        <v>566</v>
      </c>
      <c r="E62" s="586"/>
      <c r="F62" s="248">
        <v>213436</v>
      </c>
      <c r="G62" s="368"/>
    </row>
    <row r="63" spans="1:7" s="587" customFormat="1" ht="12.75" hidden="1">
      <c r="A63" s="245"/>
      <c r="B63" s="577"/>
      <c r="C63" s="242" t="s">
        <v>485</v>
      </c>
      <c r="D63" s="590" t="s">
        <v>486</v>
      </c>
      <c r="E63" s="586"/>
      <c r="F63" s="248"/>
      <c r="G63" s="368"/>
    </row>
    <row r="64" spans="1:7" s="587" customFormat="1" ht="12.75" hidden="1">
      <c r="A64" s="245"/>
      <c r="B64" s="577"/>
      <c r="C64" s="242" t="s">
        <v>459</v>
      </c>
      <c r="D64" s="590" t="s">
        <v>460</v>
      </c>
      <c r="E64" s="586"/>
      <c r="F64" s="248"/>
      <c r="G64" s="368"/>
    </row>
    <row r="65" spans="1:7" s="587" customFormat="1" ht="12.75" hidden="1">
      <c r="A65" s="245"/>
      <c r="B65" s="577"/>
      <c r="C65" s="242" t="s">
        <v>461</v>
      </c>
      <c r="D65" s="575" t="s">
        <v>462</v>
      </c>
      <c r="E65" s="586"/>
      <c r="F65" s="248"/>
      <c r="G65" s="368"/>
    </row>
    <row r="66" spans="1:7" s="587" customFormat="1" ht="12.75" hidden="1">
      <c r="A66" s="245"/>
      <c r="B66" s="577"/>
      <c r="C66" s="242" t="s">
        <v>463</v>
      </c>
      <c r="D66" s="590" t="s">
        <v>464</v>
      </c>
      <c r="E66" s="586"/>
      <c r="F66" s="248"/>
      <c r="G66" s="368"/>
    </row>
    <row r="67" spans="1:7" s="587" customFormat="1" ht="12.75" hidden="1">
      <c r="A67" s="245"/>
      <c r="B67" s="577"/>
      <c r="C67" s="243" t="s">
        <v>465</v>
      </c>
      <c r="D67" s="600" t="s">
        <v>564</v>
      </c>
      <c r="E67" s="586"/>
      <c r="F67" s="248"/>
      <c r="G67" s="368"/>
    </row>
    <row r="68" spans="1:7" s="587" customFormat="1" ht="12.75" hidden="1">
      <c r="A68" s="245"/>
      <c r="B68" s="577"/>
      <c r="C68" s="243" t="s">
        <v>467</v>
      </c>
      <c r="D68" s="590" t="s">
        <v>456</v>
      </c>
      <c r="E68" s="586"/>
      <c r="F68" s="248"/>
      <c r="G68" s="368"/>
    </row>
    <row r="69" spans="1:7" s="587" customFormat="1" ht="22.5" hidden="1">
      <c r="A69" s="245"/>
      <c r="B69" s="577"/>
      <c r="C69" s="242" t="s">
        <v>498</v>
      </c>
      <c r="D69" s="590" t="s">
        <v>499</v>
      </c>
      <c r="E69" s="586"/>
      <c r="F69" s="248">
        <v>0</v>
      </c>
      <c r="G69" s="368"/>
    </row>
    <row r="70" spans="1:7" s="587" customFormat="1" ht="22.5" hidden="1">
      <c r="A70" s="245"/>
      <c r="B70" s="577"/>
      <c r="C70" s="242" t="s">
        <v>480</v>
      </c>
      <c r="D70" s="590" t="s">
        <v>481</v>
      </c>
      <c r="E70" s="586"/>
      <c r="F70" s="248">
        <v>0</v>
      </c>
      <c r="G70" s="368"/>
    </row>
    <row r="71" spans="1:7" s="587" customFormat="1" ht="12.75">
      <c r="A71" s="245"/>
      <c r="B71" s="588" t="s">
        <v>329</v>
      </c>
      <c r="C71" s="242"/>
      <c r="D71" s="29" t="s">
        <v>330</v>
      </c>
      <c r="E71" s="586">
        <f>SUM(E72)</f>
        <v>29000</v>
      </c>
      <c r="F71" s="151">
        <f>SUM(F73:F83)</f>
        <v>29000</v>
      </c>
      <c r="G71" s="151">
        <f>SUM(G72:G77)</f>
        <v>0</v>
      </c>
    </row>
    <row r="72" spans="1:7" s="587" customFormat="1" ht="32.25" customHeight="1">
      <c r="A72" s="599"/>
      <c r="B72" s="241"/>
      <c r="C72" s="243" t="s">
        <v>309</v>
      </c>
      <c r="D72" s="620" t="s">
        <v>310</v>
      </c>
      <c r="E72" s="593">
        <v>29000</v>
      </c>
      <c r="F72" s="248"/>
      <c r="G72" s="368"/>
    </row>
    <row r="73" spans="1:7" s="587" customFormat="1" ht="12.75">
      <c r="A73" s="599"/>
      <c r="B73" s="245"/>
      <c r="C73" s="243" t="s">
        <v>459</v>
      </c>
      <c r="D73" s="590" t="s">
        <v>460</v>
      </c>
      <c r="E73" s="593"/>
      <c r="F73" s="248">
        <v>1760</v>
      </c>
      <c r="G73" s="368"/>
    </row>
    <row r="74" spans="1:7" s="587" customFormat="1" ht="12.75">
      <c r="A74" s="599"/>
      <c r="B74" s="245"/>
      <c r="C74" s="243" t="s">
        <v>461</v>
      </c>
      <c r="D74" s="590" t="s">
        <v>462</v>
      </c>
      <c r="E74" s="593"/>
      <c r="F74" s="248">
        <v>100</v>
      </c>
      <c r="G74" s="368"/>
    </row>
    <row r="75" spans="1:7" s="587" customFormat="1" ht="12.75">
      <c r="A75" s="599"/>
      <c r="B75" s="245"/>
      <c r="C75" s="243" t="s">
        <v>463</v>
      </c>
      <c r="D75" s="446" t="s">
        <v>464</v>
      </c>
      <c r="E75" s="593"/>
      <c r="F75" s="248">
        <v>12550</v>
      </c>
      <c r="G75" s="368"/>
    </row>
    <row r="76" spans="1:7" s="587" customFormat="1" ht="12.75">
      <c r="A76" s="599"/>
      <c r="B76" s="245"/>
      <c r="C76" s="243" t="s">
        <v>487</v>
      </c>
      <c r="D76" s="590" t="s">
        <v>488</v>
      </c>
      <c r="E76" s="593"/>
      <c r="F76" s="248">
        <v>3000</v>
      </c>
      <c r="G76" s="368"/>
    </row>
    <row r="77" spans="1:7" s="587" customFormat="1" ht="12.75">
      <c r="A77" s="599"/>
      <c r="B77" s="245"/>
      <c r="C77" s="578" t="s">
        <v>467</v>
      </c>
      <c r="D77" s="590" t="s">
        <v>456</v>
      </c>
      <c r="E77" s="593"/>
      <c r="F77" s="248">
        <v>5490</v>
      </c>
      <c r="G77" s="368"/>
    </row>
    <row r="78" spans="1:7" s="587" customFormat="1" ht="22.5">
      <c r="A78" s="599"/>
      <c r="B78" s="245"/>
      <c r="C78" s="243" t="s">
        <v>491</v>
      </c>
      <c r="D78" s="602" t="s">
        <v>492</v>
      </c>
      <c r="E78" s="593"/>
      <c r="F78" s="248">
        <v>200</v>
      </c>
      <c r="G78" s="368"/>
    </row>
    <row r="79" spans="1:7" s="587" customFormat="1" ht="22.5">
      <c r="A79" s="599"/>
      <c r="B79" s="245"/>
      <c r="C79" s="243" t="s">
        <v>470</v>
      </c>
      <c r="D79" s="603" t="s">
        <v>471</v>
      </c>
      <c r="E79" s="593"/>
      <c r="F79" s="248">
        <v>5300</v>
      </c>
      <c r="G79" s="368"/>
    </row>
    <row r="80" spans="1:7" s="587" customFormat="1" ht="12.75">
      <c r="A80" s="599"/>
      <c r="B80" s="245"/>
      <c r="C80" s="243" t="s">
        <v>493</v>
      </c>
      <c r="D80" s="603" t="s">
        <v>494</v>
      </c>
      <c r="E80" s="593"/>
      <c r="F80" s="248">
        <v>100</v>
      </c>
      <c r="G80" s="368"/>
    </row>
    <row r="81" spans="1:7" s="587" customFormat="1" ht="22.5">
      <c r="A81" s="599"/>
      <c r="B81" s="245"/>
      <c r="C81" s="243" t="s">
        <v>478</v>
      </c>
      <c r="D81" s="446" t="s">
        <v>479</v>
      </c>
      <c r="E81" s="593"/>
      <c r="F81" s="248">
        <v>500</v>
      </c>
      <c r="G81" s="368"/>
    </row>
    <row r="82" spans="1:7" s="587" customFormat="1" ht="22.5" hidden="1">
      <c r="A82" s="599"/>
      <c r="B82" s="245"/>
      <c r="C82" s="243" t="s">
        <v>498</v>
      </c>
      <c r="D82" s="590" t="s">
        <v>499</v>
      </c>
      <c r="E82" s="593"/>
      <c r="F82" s="248">
        <v>0</v>
      </c>
      <c r="G82" s="368"/>
    </row>
    <row r="83" spans="1:7" s="587" customFormat="1" ht="22.5" hidden="1">
      <c r="A83" s="599"/>
      <c r="B83" s="245"/>
      <c r="C83" s="243" t="s">
        <v>480</v>
      </c>
      <c r="D83" s="590" t="s">
        <v>481</v>
      </c>
      <c r="E83" s="593"/>
      <c r="F83" s="248">
        <v>0</v>
      </c>
      <c r="G83" s="368"/>
    </row>
    <row r="84" spans="1:7" s="587" customFormat="1" ht="24">
      <c r="A84" s="241" t="s">
        <v>331</v>
      </c>
      <c r="B84" s="242"/>
      <c r="C84" s="242"/>
      <c r="D84" s="616" t="s">
        <v>332</v>
      </c>
      <c r="E84" s="586">
        <f>SUM(E85,E122)</f>
        <v>3579000</v>
      </c>
      <c r="F84" s="586">
        <f>SUM(F85,F122)</f>
        <v>3579000</v>
      </c>
      <c r="G84" s="239">
        <f>G85</f>
        <v>4000</v>
      </c>
    </row>
    <row r="85" spans="1:7" s="587" customFormat="1" ht="24">
      <c r="A85" s="241"/>
      <c r="B85" s="588" t="s">
        <v>333</v>
      </c>
      <c r="C85" s="243"/>
      <c r="D85" s="616" t="s">
        <v>334</v>
      </c>
      <c r="E85" s="586">
        <f>SUM(E86:E87)</f>
        <v>3579000</v>
      </c>
      <c r="F85" s="239">
        <f>SUM(F88:F120)</f>
        <v>3579000</v>
      </c>
      <c r="G85" s="151">
        <f>SUM(G86:G121)</f>
        <v>4000</v>
      </c>
    </row>
    <row r="86" spans="1:7" s="587" customFormat="1" ht="45" customHeight="1">
      <c r="A86" s="245"/>
      <c r="B86" s="588"/>
      <c r="C86" s="243" t="s">
        <v>309</v>
      </c>
      <c r="D86" s="590" t="s">
        <v>310</v>
      </c>
      <c r="E86" s="248">
        <v>3179000</v>
      </c>
      <c r="F86" s="248"/>
      <c r="G86" s="604"/>
    </row>
    <row r="87" spans="1:7" s="587" customFormat="1" ht="46.5" customHeight="1">
      <c r="A87" s="245"/>
      <c r="B87" s="577"/>
      <c r="C87" s="578" t="s">
        <v>324</v>
      </c>
      <c r="D87" s="575" t="s">
        <v>447</v>
      </c>
      <c r="E87" s="403">
        <v>400000</v>
      </c>
      <c r="F87" s="403"/>
      <c r="G87" s="605"/>
    </row>
    <row r="88" spans="1:7" s="587" customFormat="1" ht="12.75">
      <c r="A88" s="245"/>
      <c r="B88" s="577"/>
      <c r="C88" s="578" t="s">
        <v>500</v>
      </c>
      <c r="D88" s="606" t="s">
        <v>501</v>
      </c>
      <c r="E88" s="403"/>
      <c r="F88" s="403">
        <v>2000</v>
      </c>
      <c r="G88" s="605"/>
    </row>
    <row r="89" spans="1:7" s="587" customFormat="1" ht="23.25" customHeight="1">
      <c r="A89" s="245"/>
      <c r="B89" s="577"/>
      <c r="C89" s="243" t="s">
        <v>502</v>
      </c>
      <c r="D89" s="590" t="s">
        <v>503</v>
      </c>
      <c r="E89" s="593"/>
      <c r="F89" s="248">
        <v>195025</v>
      </c>
      <c r="G89" s="604"/>
    </row>
    <row r="90" spans="1:7" s="587" customFormat="1" ht="12.75">
      <c r="A90" s="245"/>
      <c r="B90" s="577"/>
      <c r="C90" s="243" t="s">
        <v>482</v>
      </c>
      <c r="D90" s="590" t="s">
        <v>566</v>
      </c>
      <c r="E90" s="593"/>
      <c r="F90" s="248">
        <v>24000</v>
      </c>
      <c r="G90" s="604"/>
    </row>
    <row r="91" spans="1:7" s="587" customFormat="1" ht="22.5">
      <c r="A91" s="245"/>
      <c r="B91" s="577"/>
      <c r="C91" s="243" t="s">
        <v>483</v>
      </c>
      <c r="D91" s="446" t="s">
        <v>484</v>
      </c>
      <c r="E91" s="593"/>
      <c r="F91" s="248">
        <v>33000</v>
      </c>
      <c r="G91" s="604"/>
    </row>
    <row r="92" spans="1:7" s="587" customFormat="1" ht="12.75">
      <c r="A92" s="245"/>
      <c r="B92" s="577"/>
      <c r="C92" s="578" t="s">
        <v>485</v>
      </c>
      <c r="D92" s="575" t="s">
        <v>486</v>
      </c>
      <c r="E92" s="595"/>
      <c r="F92" s="403">
        <v>5000</v>
      </c>
      <c r="G92" s="605"/>
    </row>
    <row r="93" spans="1:7" s="587" customFormat="1" ht="22.5">
      <c r="A93" s="245"/>
      <c r="B93" s="577"/>
      <c r="C93" s="243" t="s">
        <v>504</v>
      </c>
      <c r="D93" s="590" t="s">
        <v>505</v>
      </c>
      <c r="E93" s="593"/>
      <c r="F93" s="248">
        <v>2158000</v>
      </c>
      <c r="G93" s="604"/>
    </row>
    <row r="94" spans="1:7" s="587" customFormat="1" ht="24" customHeight="1">
      <c r="A94" s="245"/>
      <c r="B94" s="577"/>
      <c r="C94" s="578" t="s">
        <v>506</v>
      </c>
      <c r="D94" s="575" t="s">
        <v>507</v>
      </c>
      <c r="E94" s="595"/>
      <c r="F94" s="403">
        <v>145000</v>
      </c>
      <c r="G94" s="605"/>
    </row>
    <row r="95" spans="1:7" s="587" customFormat="1" ht="22.5">
      <c r="A95" s="245"/>
      <c r="B95" s="577"/>
      <c r="C95" s="243" t="s">
        <v>508</v>
      </c>
      <c r="D95" s="590" t="s">
        <v>509</v>
      </c>
      <c r="E95" s="593"/>
      <c r="F95" s="248">
        <v>179000</v>
      </c>
      <c r="G95" s="604"/>
    </row>
    <row r="96" spans="1:7" s="587" customFormat="1" ht="33.75">
      <c r="A96" s="245"/>
      <c r="B96" s="577"/>
      <c r="C96" s="243" t="s">
        <v>510</v>
      </c>
      <c r="D96" s="446" t="s">
        <v>511</v>
      </c>
      <c r="E96" s="593"/>
      <c r="F96" s="248">
        <v>50000</v>
      </c>
      <c r="G96" s="604"/>
    </row>
    <row r="97" spans="1:7" s="587" customFormat="1" ht="12.75">
      <c r="A97" s="245"/>
      <c r="B97" s="577"/>
      <c r="C97" s="243" t="s">
        <v>459</v>
      </c>
      <c r="D97" s="590" t="s">
        <v>460</v>
      </c>
      <c r="E97" s="593"/>
      <c r="F97" s="248">
        <v>9000</v>
      </c>
      <c r="G97" s="604"/>
    </row>
    <row r="98" spans="1:7" s="587" customFormat="1" ht="12.75">
      <c r="A98" s="245"/>
      <c r="B98" s="577"/>
      <c r="C98" s="243" t="s">
        <v>461</v>
      </c>
      <c r="D98" s="590" t="s">
        <v>462</v>
      </c>
      <c r="E98" s="593"/>
      <c r="F98" s="248">
        <v>1000</v>
      </c>
      <c r="G98" s="604"/>
    </row>
    <row r="99" spans="1:7" s="587" customFormat="1" ht="12.75">
      <c r="A99" s="245"/>
      <c r="B99" s="577"/>
      <c r="C99" s="243" t="s">
        <v>463</v>
      </c>
      <c r="D99" s="446" t="s">
        <v>464</v>
      </c>
      <c r="E99" s="593"/>
      <c r="F99" s="248">
        <v>2000</v>
      </c>
      <c r="G99" s="604"/>
    </row>
    <row r="100" spans="1:7" s="587" customFormat="1" ht="22.5">
      <c r="A100" s="245"/>
      <c r="B100" s="577"/>
      <c r="C100" s="243" t="s">
        <v>512</v>
      </c>
      <c r="D100" s="590" t="s">
        <v>513</v>
      </c>
      <c r="E100" s="593"/>
      <c r="F100" s="248">
        <v>110000</v>
      </c>
      <c r="G100" s="604"/>
    </row>
    <row r="101" spans="1:7" s="587" customFormat="1" ht="12.75">
      <c r="A101" s="245"/>
      <c r="B101" s="577"/>
      <c r="C101" s="243" t="s">
        <v>487</v>
      </c>
      <c r="D101" s="590" t="s">
        <v>488</v>
      </c>
      <c r="E101" s="593"/>
      <c r="F101" s="248">
        <v>91000</v>
      </c>
      <c r="G101" s="604"/>
    </row>
    <row r="102" spans="1:7" s="587" customFormat="1" ht="12.75">
      <c r="A102" s="631"/>
      <c r="B102" s="632"/>
      <c r="C102" s="243" t="s">
        <v>514</v>
      </c>
      <c r="D102" s="590" t="s">
        <v>515</v>
      </c>
      <c r="E102" s="593"/>
      <c r="F102" s="248">
        <v>1000</v>
      </c>
      <c r="G102" s="604"/>
    </row>
    <row r="103" spans="1:7" s="587" customFormat="1" ht="12.75" hidden="1">
      <c r="A103" s="573"/>
      <c r="B103" s="615"/>
      <c r="C103" s="577" t="s">
        <v>516</v>
      </c>
      <c r="D103" s="633" t="s">
        <v>517</v>
      </c>
      <c r="E103" s="634"/>
      <c r="F103" s="635">
        <v>0</v>
      </c>
      <c r="G103" s="636"/>
    </row>
    <row r="104" spans="1:7" s="587" customFormat="1" ht="12.75">
      <c r="A104" s="241" t="s">
        <v>331</v>
      </c>
      <c r="B104" s="588" t="s">
        <v>333</v>
      </c>
      <c r="C104" s="243" t="s">
        <v>518</v>
      </c>
      <c r="D104" s="590" t="s">
        <v>519</v>
      </c>
      <c r="E104" s="593"/>
      <c r="F104" s="248">
        <v>51000</v>
      </c>
      <c r="G104" s="604"/>
    </row>
    <row r="105" spans="1:7" s="587" customFormat="1" ht="12.75">
      <c r="A105" s="597"/>
      <c r="B105" s="241"/>
      <c r="C105" s="578" t="s">
        <v>465</v>
      </c>
      <c r="D105" s="575" t="s">
        <v>564</v>
      </c>
      <c r="E105" s="595"/>
      <c r="F105" s="403">
        <v>37000</v>
      </c>
      <c r="G105" s="605"/>
    </row>
    <row r="106" spans="1:7" s="587" customFormat="1" ht="12.75">
      <c r="A106" s="599"/>
      <c r="B106" s="245"/>
      <c r="C106" s="243" t="s">
        <v>489</v>
      </c>
      <c r="D106" s="590" t="s">
        <v>490</v>
      </c>
      <c r="E106" s="593"/>
      <c r="F106" s="248">
        <v>19000</v>
      </c>
      <c r="G106" s="604"/>
    </row>
    <row r="107" spans="1:7" s="587" customFormat="1" ht="12.75">
      <c r="A107" s="599"/>
      <c r="B107" s="245"/>
      <c r="C107" s="243" t="s">
        <v>467</v>
      </c>
      <c r="D107" s="590" t="s">
        <v>456</v>
      </c>
      <c r="E107" s="593"/>
      <c r="F107" s="248">
        <v>30275</v>
      </c>
      <c r="G107" s="604"/>
    </row>
    <row r="108" spans="1:7" s="587" customFormat="1" ht="12.75">
      <c r="A108" s="599"/>
      <c r="B108" s="245"/>
      <c r="C108" s="243" t="s">
        <v>520</v>
      </c>
      <c r="D108" s="603" t="s">
        <v>521</v>
      </c>
      <c r="E108" s="593"/>
      <c r="F108" s="248">
        <v>5000</v>
      </c>
      <c r="G108" s="604"/>
    </row>
    <row r="109" spans="1:7" s="587" customFormat="1" ht="22.5">
      <c r="A109" s="599"/>
      <c r="B109" s="245"/>
      <c r="C109" s="243" t="s">
        <v>522</v>
      </c>
      <c r="D109" s="603" t="s">
        <v>523</v>
      </c>
      <c r="E109" s="593"/>
      <c r="F109" s="248">
        <v>6000</v>
      </c>
      <c r="G109" s="604"/>
    </row>
    <row r="110" spans="1:7" s="587" customFormat="1" ht="22.5">
      <c r="A110" s="599"/>
      <c r="B110" s="245"/>
      <c r="C110" s="243" t="s">
        <v>491</v>
      </c>
      <c r="D110" s="603" t="s">
        <v>492</v>
      </c>
      <c r="E110" s="593"/>
      <c r="F110" s="248">
        <v>5000</v>
      </c>
      <c r="G110" s="604"/>
    </row>
    <row r="111" spans="1:7" s="587" customFormat="1" ht="22.5" hidden="1">
      <c r="A111" s="599"/>
      <c r="B111" s="245"/>
      <c r="C111" s="243" t="s">
        <v>468</v>
      </c>
      <c r="D111" s="603" t="s">
        <v>469</v>
      </c>
      <c r="E111" s="593"/>
      <c r="F111" s="248">
        <v>0</v>
      </c>
      <c r="G111" s="604"/>
    </row>
    <row r="112" spans="1:7" s="587" customFormat="1" ht="12.75">
      <c r="A112" s="599"/>
      <c r="B112" s="245"/>
      <c r="C112" s="243" t="s">
        <v>493</v>
      </c>
      <c r="D112" s="590" t="s">
        <v>494</v>
      </c>
      <c r="E112" s="593"/>
      <c r="F112" s="248">
        <v>4000</v>
      </c>
      <c r="G112" s="604"/>
    </row>
    <row r="113" spans="1:7" s="587" customFormat="1" ht="12.75">
      <c r="A113" s="598"/>
      <c r="B113" s="573"/>
      <c r="C113" s="243" t="s">
        <v>472</v>
      </c>
      <c r="D113" s="590" t="s">
        <v>473</v>
      </c>
      <c r="E113" s="593"/>
      <c r="F113" s="248">
        <v>2000</v>
      </c>
      <c r="G113" s="604"/>
    </row>
    <row r="114" spans="1:7" s="587" customFormat="1" ht="22.5">
      <c r="A114" s="599"/>
      <c r="B114" s="245"/>
      <c r="C114" s="243" t="s">
        <v>496</v>
      </c>
      <c r="D114" s="590" t="s">
        <v>497</v>
      </c>
      <c r="E114" s="593"/>
      <c r="F114" s="248">
        <v>2000</v>
      </c>
      <c r="G114" s="604"/>
    </row>
    <row r="115" spans="1:7" s="587" customFormat="1" ht="22.5">
      <c r="A115" s="599"/>
      <c r="B115" s="245"/>
      <c r="C115" s="243" t="s">
        <v>524</v>
      </c>
      <c r="D115" s="590" t="s">
        <v>525</v>
      </c>
      <c r="E115" s="593"/>
      <c r="F115" s="248">
        <v>9042</v>
      </c>
      <c r="G115" s="604"/>
    </row>
    <row r="116" spans="1:7" s="587" customFormat="1" ht="12.75">
      <c r="A116" s="599"/>
      <c r="B116" s="245"/>
      <c r="C116" s="243" t="s">
        <v>526</v>
      </c>
      <c r="D116" s="590" t="s">
        <v>527</v>
      </c>
      <c r="E116" s="593"/>
      <c r="F116" s="248">
        <v>658</v>
      </c>
      <c r="G116" s="604"/>
    </row>
    <row r="117" spans="1:7" s="587" customFormat="1" ht="22.5">
      <c r="A117" s="599"/>
      <c r="B117" s="245"/>
      <c r="C117" s="578" t="s">
        <v>498</v>
      </c>
      <c r="D117" s="603" t="s">
        <v>499</v>
      </c>
      <c r="E117" s="593"/>
      <c r="F117" s="248">
        <v>2000</v>
      </c>
      <c r="G117" s="604"/>
    </row>
    <row r="118" spans="1:7" s="587" customFormat="1" ht="22.5">
      <c r="A118" s="599"/>
      <c r="B118" s="245"/>
      <c r="C118" s="243" t="s">
        <v>480</v>
      </c>
      <c r="D118" s="446" t="s">
        <v>481</v>
      </c>
      <c r="E118" s="593"/>
      <c r="F118" s="248">
        <v>1000</v>
      </c>
      <c r="G118" s="604"/>
    </row>
    <row r="119" spans="1:7" s="587" customFormat="1" ht="22.5" hidden="1">
      <c r="A119" s="599"/>
      <c r="B119" s="245"/>
      <c r="C119" s="243" t="s">
        <v>528</v>
      </c>
      <c r="D119" s="446" t="s">
        <v>565</v>
      </c>
      <c r="E119" s="593"/>
      <c r="F119" s="248">
        <v>0</v>
      </c>
      <c r="G119" s="604"/>
    </row>
    <row r="120" spans="1:7" s="587" customFormat="1" ht="22.5">
      <c r="A120" s="599"/>
      <c r="B120" s="245"/>
      <c r="C120" s="243" t="s">
        <v>529</v>
      </c>
      <c r="D120" s="446" t="s">
        <v>530</v>
      </c>
      <c r="E120" s="593"/>
      <c r="F120" s="248">
        <v>400000</v>
      </c>
      <c r="G120" s="604"/>
    </row>
    <row r="121" spans="1:7" s="587" customFormat="1" ht="36" customHeight="1">
      <c r="A121" s="596"/>
      <c r="B121" s="244"/>
      <c r="C121" s="243" t="s">
        <v>457</v>
      </c>
      <c r="D121" s="590" t="s">
        <v>458</v>
      </c>
      <c r="E121" s="593"/>
      <c r="F121" s="248"/>
      <c r="G121" s="248">
        <v>4000</v>
      </c>
    </row>
    <row r="122" spans="1:7" s="587" customFormat="1" ht="12.75" hidden="1">
      <c r="A122" s="245" t="s">
        <v>331</v>
      </c>
      <c r="B122" s="577" t="s">
        <v>335</v>
      </c>
      <c r="C122" s="242"/>
      <c r="D122" s="607" t="s">
        <v>336</v>
      </c>
      <c r="E122" s="586">
        <f>SUM(E123:E123)</f>
        <v>0</v>
      </c>
      <c r="F122" s="151">
        <f>SUM(F124:F127)</f>
        <v>0</v>
      </c>
      <c r="G122" s="151">
        <f>SUM(G124:G124)</f>
        <v>0</v>
      </c>
    </row>
    <row r="123" spans="1:7" s="587" customFormat="1" ht="45" customHeight="1" hidden="1">
      <c r="A123" s="597"/>
      <c r="B123" s="241"/>
      <c r="C123" s="578" t="s">
        <v>309</v>
      </c>
      <c r="D123" s="575" t="s">
        <v>310</v>
      </c>
      <c r="E123" s="595">
        <v>0</v>
      </c>
      <c r="F123" s="403"/>
      <c r="G123" s="574"/>
    </row>
    <row r="124" spans="1:7" s="587" customFormat="1" ht="12.75" hidden="1">
      <c r="A124" s="599"/>
      <c r="B124" s="245"/>
      <c r="C124" s="243" t="s">
        <v>487</v>
      </c>
      <c r="D124" s="590" t="s">
        <v>488</v>
      </c>
      <c r="E124" s="593"/>
      <c r="F124" s="248">
        <v>0</v>
      </c>
      <c r="G124" s="368"/>
    </row>
    <row r="125" spans="1:7" s="587" customFormat="1" ht="12.75" hidden="1">
      <c r="A125" s="599"/>
      <c r="B125" s="245"/>
      <c r="C125" s="243" t="s">
        <v>467</v>
      </c>
      <c r="D125" s="590" t="s">
        <v>456</v>
      </c>
      <c r="E125" s="593"/>
      <c r="F125" s="248">
        <v>0</v>
      </c>
      <c r="G125" s="368"/>
    </row>
    <row r="126" spans="1:7" s="587" customFormat="1" ht="22.5" hidden="1">
      <c r="A126" s="599"/>
      <c r="B126" s="245"/>
      <c r="C126" s="243" t="s">
        <v>498</v>
      </c>
      <c r="D126" s="603" t="s">
        <v>499</v>
      </c>
      <c r="E126" s="593"/>
      <c r="F126" s="248">
        <v>0</v>
      </c>
      <c r="G126" s="368"/>
    </row>
    <row r="127" spans="1:7" s="587" customFormat="1" ht="22.5" hidden="1">
      <c r="A127" s="596"/>
      <c r="B127" s="244"/>
      <c r="C127" s="578" t="s">
        <v>480</v>
      </c>
      <c r="D127" s="606" t="s">
        <v>481</v>
      </c>
      <c r="E127" s="595"/>
      <c r="F127" s="403">
        <v>0</v>
      </c>
      <c r="G127" s="574"/>
    </row>
    <row r="128" spans="1:7" s="587" customFormat="1" ht="12.75">
      <c r="A128" s="242" t="s">
        <v>340</v>
      </c>
      <c r="B128" s="242"/>
      <c r="C128" s="242"/>
      <c r="D128" s="29" t="s">
        <v>341</v>
      </c>
      <c r="E128" s="586">
        <f>SUM(E129,E132)</f>
        <v>955808</v>
      </c>
      <c r="F128" s="586">
        <f>SUM(F129,F132)</f>
        <v>955808</v>
      </c>
      <c r="G128" s="239">
        <f>G132</f>
        <v>0</v>
      </c>
    </row>
    <row r="129" spans="1:7" s="587" customFormat="1" ht="12.75" hidden="1">
      <c r="A129" s="241"/>
      <c r="B129" s="243" t="s">
        <v>131</v>
      </c>
      <c r="C129" s="242"/>
      <c r="D129" s="84" t="s">
        <v>433</v>
      </c>
      <c r="E129" s="586">
        <f>SUM(E130:E130)</f>
        <v>0</v>
      </c>
      <c r="F129" s="151">
        <f>SUM(F131:F131)</f>
        <v>0</v>
      </c>
      <c r="G129" s="151">
        <f>SUM(G131:G131)</f>
        <v>0</v>
      </c>
    </row>
    <row r="130" spans="1:7" s="587" customFormat="1" ht="56.25" hidden="1">
      <c r="A130" s="245"/>
      <c r="B130" s="577"/>
      <c r="C130" s="578" t="s">
        <v>324</v>
      </c>
      <c r="D130" s="575" t="s">
        <v>447</v>
      </c>
      <c r="E130" s="595"/>
      <c r="F130" s="403"/>
      <c r="G130" s="574"/>
    </row>
    <row r="131" spans="1:7" s="587" customFormat="1" ht="48" customHeight="1" hidden="1">
      <c r="A131" s="245"/>
      <c r="B131" s="578"/>
      <c r="C131" s="242" t="s">
        <v>531</v>
      </c>
      <c r="D131" s="438" t="s">
        <v>532</v>
      </c>
      <c r="E131" s="593"/>
      <c r="F131" s="248"/>
      <c r="G131" s="368"/>
    </row>
    <row r="132" spans="1:7" s="587" customFormat="1" ht="36" customHeight="1">
      <c r="A132" s="245"/>
      <c r="B132" s="243" t="s">
        <v>342</v>
      </c>
      <c r="C132" s="242"/>
      <c r="D132" s="608" t="s">
        <v>343</v>
      </c>
      <c r="E132" s="586">
        <f>SUM(E133:E133)</f>
        <v>955808</v>
      </c>
      <c r="F132" s="151">
        <f>SUM(F134:F134)</f>
        <v>955808</v>
      </c>
      <c r="G132" s="151">
        <f>SUM(G134:G134)</f>
        <v>0</v>
      </c>
    </row>
    <row r="133" spans="1:7" s="587" customFormat="1" ht="45.75" customHeight="1">
      <c r="A133" s="245"/>
      <c r="B133" s="577"/>
      <c r="C133" s="578" t="s">
        <v>309</v>
      </c>
      <c r="D133" s="575" t="s">
        <v>310</v>
      </c>
      <c r="E133" s="595">
        <f>1127000-171192</f>
        <v>955808</v>
      </c>
      <c r="F133" s="403"/>
      <c r="G133" s="574"/>
    </row>
    <row r="134" spans="1:7" s="587" customFormat="1" ht="12.75">
      <c r="A134" s="244"/>
      <c r="B134" s="578"/>
      <c r="C134" s="243" t="s">
        <v>533</v>
      </c>
      <c r="D134" s="590" t="s">
        <v>535</v>
      </c>
      <c r="E134" s="593"/>
      <c r="F134" s="248">
        <f>1127000-171192</f>
        <v>955808</v>
      </c>
      <c r="G134" s="368"/>
    </row>
    <row r="135" spans="1:7" s="587" customFormat="1" ht="12.75">
      <c r="A135" s="245">
        <v>852</v>
      </c>
      <c r="B135" s="243"/>
      <c r="C135" s="242"/>
      <c r="D135" s="29" t="s">
        <v>357</v>
      </c>
      <c r="E135" s="586">
        <f>SUM(E136)</f>
        <v>482397</v>
      </c>
      <c r="F135" s="586">
        <f>SUM(F136)</f>
        <v>482397</v>
      </c>
      <c r="G135" s="239">
        <f>SUM(G136)</f>
        <v>0</v>
      </c>
    </row>
    <row r="136" spans="1:7" s="587" customFormat="1" ht="12.75">
      <c r="A136" s="241"/>
      <c r="B136" s="588" t="s">
        <v>344</v>
      </c>
      <c r="C136" s="242"/>
      <c r="D136" s="29" t="s">
        <v>345</v>
      </c>
      <c r="E136" s="586">
        <f>SUM(E137:E155)</f>
        <v>482397</v>
      </c>
      <c r="F136" s="586">
        <f>SUM(F138:F158)</f>
        <v>482397</v>
      </c>
      <c r="G136" s="239">
        <f>SUM(G159)</f>
        <v>0</v>
      </c>
    </row>
    <row r="137" spans="1:7" s="587" customFormat="1" ht="42.75" customHeight="1">
      <c r="A137" s="599"/>
      <c r="B137" s="241"/>
      <c r="C137" s="243" t="s">
        <v>309</v>
      </c>
      <c r="D137" s="590" t="s">
        <v>310</v>
      </c>
      <c r="E137" s="593">
        <f>482000+397</f>
        <v>482397</v>
      </c>
      <c r="F137" s="248"/>
      <c r="G137" s="368"/>
    </row>
    <row r="138" spans="1:7" s="587" customFormat="1" ht="11.25" customHeight="1">
      <c r="A138" s="599"/>
      <c r="B138" s="245"/>
      <c r="C138" s="761" t="s">
        <v>536</v>
      </c>
      <c r="D138" s="763" t="s">
        <v>537</v>
      </c>
      <c r="E138" s="765"/>
      <c r="F138" s="767">
        <v>1280</v>
      </c>
      <c r="G138" s="769"/>
    </row>
    <row r="139" spans="1:7" s="587" customFormat="1" ht="3.75" customHeight="1" hidden="1">
      <c r="A139" s="599"/>
      <c r="B139" s="245"/>
      <c r="C139" s="762"/>
      <c r="D139" s="764"/>
      <c r="E139" s="766"/>
      <c r="F139" s="768"/>
      <c r="G139" s="770"/>
    </row>
    <row r="140" spans="1:7" s="587" customFormat="1" ht="12.75">
      <c r="A140" s="599"/>
      <c r="B140" s="245"/>
      <c r="C140" s="243" t="s">
        <v>482</v>
      </c>
      <c r="D140" s="590" t="s">
        <v>566</v>
      </c>
      <c r="E140" s="609"/>
      <c r="F140" s="247">
        <v>213288</v>
      </c>
      <c r="G140" s="368"/>
    </row>
    <row r="141" spans="1:7" s="587" customFormat="1" ht="12.75">
      <c r="A141" s="599"/>
      <c r="B141" s="245"/>
      <c r="C141" s="243" t="s">
        <v>485</v>
      </c>
      <c r="D141" s="590" t="s">
        <v>486</v>
      </c>
      <c r="E141" s="609"/>
      <c r="F141" s="247">
        <v>14656</v>
      </c>
      <c r="G141" s="368"/>
    </row>
    <row r="142" spans="1:7" s="587" customFormat="1" ht="12.75">
      <c r="A142" s="599"/>
      <c r="B142" s="245"/>
      <c r="C142" s="578" t="s">
        <v>459</v>
      </c>
      <c r="D142" s="575" t="s">
        <v>460</v>
      </c>
      <c r="E142" s="576"/>
      <c r="F142" s="420">
        <v>35640</v>
      </c>
      <c r="G142" s="574"/>
    </row>
    <row r="143" spans="1:7" s="587" customFormat="1" ht="12.75">
      <c r="A143" s="599"/>
      <c r="B143" s="245"/>
      <c r="C143" s="578" t="s">
        <v>461</v>
      </c>
      <c r="D143" s="575" t="s">
        <v>462</v>
      </c>
      <c r="E143" s="576"/>
      <c r="F143" s="420">
        <v>5520</v>
      </c>
      <c r="G143" s="574"/>
    </row>
    <row r="144" spans="1:7" s="587" customFormat="1" ht="12.75">
      <c r="A144" s="599"/>
      <c r="B144" s="245"/>
      <c r="C144" s="578" t="s">
        <v>463</v>
      </c>
      <c r="D144" s="575" t="s">
        <v>538</v>
      </c>
      <c r="E144" s="576"/>
      <c r="F144" s="420">
        <v>7608</v>
      </c>
      <c r="G144" s="574"/>
    </row>
    <row r="145" spans="1:7" s="587" customFormat="1" ht="12.75">
      <c r="A145" s="599"/>
      <c r="B145" s="245"/>
      <c r="C145" s="578" t="s">
        <v>487</v>
      </c>
      <c r="D145" s="575" t="s">
        <v>488</v>
      </c>
      <c r="E145" s="576"/>
      <c r="F145" s="420">
        <f>44069+397</f>
        <v>44466</v>
      </c>
      <c r="G145" s="574"/>
    </row>
    <row r="146" spans="1:7" s="587" customFormat="1" ht="22.5" hidden="1">
      <c r="A146" s="599"/>
      <c r="B146" s="245"/>
      <c r="C146" s="578" t="s">
        <v>539</v>
      </c>
      <c r="D146" s="575" t="s">
        <v>540</v>
      </c>
      <c r="E146" s="576"/>
      <c r="F146" s="420">
        <v>0</v>
      </c>
      <c r="G146" s="574"/>
    </row>
    <row r="147" spans="1:7" s="587" customFormat="1" ht="12.75">
      <c r="A147" s="599"/>
      <c r="B147" s="245"/>
      <c r="C147" s="578" t="s">
        <v>518</v>
      </c>
      <c r="D147" s="575" t="s">
        <v>519</v>
      </c>
      <c r="E147" s="576"/>
      <c r="F147" s="420">
        <v>29933</v>
      </c>
      <c r="G147" s="574"/>
    </row>
    <row r="148" spans="1:7" s="587" customFormat="1" ht="12.75">
      <c r="A148" s="599"/>
      <c r="B148" s="245"/>
      <c r="C148" s="578" t="s">
        <v>465</v>
      </c>
      <c r="D148" s="575" t="s">
        <v>564</v>
      </c>
      <c r="E148" s="576"/>
      <c r="F148" s="420">
        <v>15000</v>
      </c>
      <c r="G148" s="574"/>
    </row>
    <row r="149" spans="1:7" s="587" customFormat="1" ht="12.75">
      <c r="A149" s="599"/>
      <c r="B149" s="245"/>
      <c r="C149" s="578" t="s">
        <v>489</v>
      </c>
      <c r="D149" s="575" t="s">
        <v>490</v>
      </c>
      <c r="E149" s="576"/>
      <c r="F149" s="420">
        <v>500</v>
      </c>
      <c r="G149" s="574"/>
    </row>
    <row r="150" spans="1:7" s="587" customFormat="1" ht="12.75">
      <c r="A150" s="599"/>
      <c r="B150" s="245"/>
      <c r="C150" s="243" t="s">
        <v>467</v>
      </c>
      <c r="D150" s="590" t="s">
        <v>456</v>
      </c>
      <c r="E150" s="168"/>
      <c r="F150" s="247">
        <v>80000</v>
      </c>
      <c r="G150" s="368"/>
    </row>
    <row r="151" spans="1:7" s="587" customFormat="1" ht="12.75">
      <c r="A151" s="599"/>
      <c r="B151" s="245"/>
      <c r="C151" s="243" t="s">
        <v>520</v>
      </c>
      <c r="D151" s="590" t="s">
        <v>521</v>
      </c>
      <c r="E151" s="168"/>
      <c r="F151" s="247">
        <v>1379</v>
      </c>
      <c r="G151" s="368"/>
    </row>
    <row r="152" spans="1:7" s="587" customFormat="1" ht="22.5">
      <c r="A152" s="599"/>
      <c r="B152" s="245"/>
      <c r="C152" s="243" t="s">
        <v>491</v>
      </c>
      <c r="D152" s="446" t="s">
        <v>492</v>
      </c>
      <c r="E152" s="168"/>
      <c r="F152" s="247">
        <v>3500</v>
      </c>
      <c r="G152" s="368"/>
    </row>
    <row r="153" spans="1:7" s="587" customFormat="1" ht="12.75">
      <c r="A153" s="599"/>
      <c r="B153" s="245"/>
      <c r="C153" s="243" t="s">
        <v>493</v>
      </c>
      <c r="D153" s="590" t="s">
        <v>494</v>
      </c>
      <c r="E153" s="168"/>
      <c r="F153" s="247">
        <v>4000</v>
      </c>
      <c r="G153" s="368"/>
    </row>
    <row r="154" spans="1:7" s="587" customFormat="1" ht="12.75">
      <c r="A154" s="599"/>
      <c r="B154" s="245"/>
      <c r="C154" s="243" t="s">
        <v>472</v>
      </c>
      <c r="D154" s="590" t="s">
        <v>473</v>
      </c>
      <c r="E154" s="168"/>
      <c r="F154" s="247">
        <v>600</v>
      </c>
      <c r="G154" s="368"/>
    </row>
    <row r="155" spans="1:7" s="587" customFormat="1" ht="22.5">
      <c r="A155" s="599"/>
      <c r="B155" s="245"/>
      <c r="C155" s="588" t="s">
        <v>496</v>
      </c>
      <c r="D155" s="610" t="s">
        <v>497</v>
      </c>
      <c r="E155" s="611"/>
      <c r="F155" s="612">
        <v>9027</v>
      </c>
      <c r="G155" s="613"/>
    </row>
    <row r="156" spans="1:7" s="587" customFormat="1" ht="22.5">
      <c r="A156" s="599"/>
      <c r="B156" s="245"/>
      <c r="C156" s="588" t="s">
        <v>478</v>
      </c>
      <c r="D156" s="446" t="s">
        <v>479</v>
      </c>
      <c r="E156" s="611"/>
      <c r="F156" s="612">
        <v>7000</v>
      </c>
      <c r="G156" s="613"/>
    </row>
    <row r="157" spans="1:7" s="587" customFormat="1" ht="22.5">
      <c r="A157" s="599"/>
      <c r="B157" s="245"/>
      <c r="C157" s="588" t="s">
        <v>498</v>
      </c>
      <c r="D157" s="614" t="s">
        <v>499</v>
      </c>
      <c r="E157" s="611"/>
      <c r="F157" s="612">
        <v>3000</v>
      </c>
      <c r="G157" s="613"/>
    </row>
    <row r="158" spans="1:7" s="587" customFormat="1" ht="22.5">
      <c r="A158" s="596"/>
      <c r="B158" s="244"/>
      <c r="C158" s="588" t="s">
        <v>480</v>
      </c>
      <c r="D158" s="614" t="s">
        <v>481</v>
      </c>
      <c r="E158" s="611"/>
      <c r="F158" s="612">
        <v>6000</v>
      </c>
      <c r="G158" s="613"/>
    </row>
    <row r="159" spans="1:7" s="587" customFormat="1" ht="33.75" hidden="1">
      <c r="A159" s="596"/>
      <c r="B159" s="244"/>
      <c r="C159" s="243" t="s">
        <v>457</v>
      </c>
      <c r="D159" s="590" t="s">
        <v>458</v>
      </c>
      <c r="E159" s="611"/>
      <c r="F159" s="612"/>
      <c r="G159" s="612">
        <v>0</v>
      </c>
    </row>
    <row r="160" spans="1:7" s="587" customFormat="1" ht="12.75">
      <c r="A160" s="757" t="s">
        <v>358</v>
      </c>
      <c r="B160" s="758"/>
      <c r="C160" s="759"/>
      <c r="D160" s="759"/>
      <c r="E160" s="151">
        <f>SUM(E135,E128,E84,E59,E33,E17,E11)</f>
        <v>5626184</v>
      </c>
      <c r="F160" s="151">
        <f>SUM(F135,F128,F84,F59,F33,F17,F11)</f>
        <v>5626184</v>
      </c>
      <c r="G160" s="151">
        <f>G11+G17+G33+G59+G84+G128+G135</f>
        <v>897510</v>
      </c>
    </row>
    <row r="161" spans="6:7" ht="12.75">
      <c r="F161" s="49"/>
      <c r="G161" s="31"/>
    </row>
    <row r="162" spans="6:7" ht="12.75">
      <c r="F162" s="49"/>
      <c r="G162" s="31"/>
    </row>
    <row r="163" spans="6:7" ht="12.75">
      <c r="F163" s="49"/>
      <c r="G163" s="31"/>
    </row>
    <row r="164" spans="6:7" ht="12.75">
      <c r="F164" s="49"/>
      <c r="G164" s="31"/>
    </row>
    <row r="165" spans="6:7" ht="12.75">
      <c r="F165" s="49"/>
      <c r="G165" s="31"/>
    </row>
    <row r="166" spans="6:7" ht="12.75">
      <c r="F166" s="49"/>
      <c r="G166" s="31"/>
    </row>
    <row r="167" spans="6:7" ht="12.75">
      <c r="F167" s="49"/>
      <c r="G167" s="31"/>
    </row>
    <row r="168" spans="6:7" ht="12.75">
      <c r="F168" s="49"/>
      <c r="G168" s="31"/>
    </row>
    <row r="169" spans="6:7" ht="12.75">
      <c r="F169" s="49"/>
      <c r="G169" s="31"/>
    </row>
    <row r="170" spans="6:7" ht="12.75">
      <c r="F170" s="49"/>
      <c r="G170" s="31"/>
    </row>
    <row r="171" spans="6:7" ht="12.75">
      <c r="F171" s="49"/>
      <c r="G171" s="31"/>
    </row>
    <row r="172" spans="6:7" ht="12.75">
      <c r="F172" s="49"/>
      <c r="G172" s="31"/>
    </row>
    <row r="173" spans="6:7" ht="12.75">
      <c r="F173" s="49"/>
      <c r="G173" s="31"/>
    </row>
    <row r="174" spans="6:7" ht="12.75">
      <c r="F174" s="49"/>
      <c r="G174" s="31"/>
    </row>
    <row r="175" spans="6:7" ht="12.75">
      <c r="F175" s="49"/>
      <c r="G175" s="31"/>
    </row>
    <row r="176" spans="6:7" ht="12.75">
      <c r="F176" s="49"/>
      <c r="G176" s="31"/>
    </row>
    <row r="177" spans="6:7" ht="12.75">
      <c r="F177" s="49"/>
      <c r="G177" s="31"/>
    </row>
    <row r="178" spans="6:7" ht="12.75">
      <c r="F178" s="49"/>
      <c r="G178" s="31"/>
    </row>
    <row r="179" spans="6:7" ht="12.75">
      <c r="F179" s="49"/>
      <c r="G179" s="31"/>
    </row>
    <row r="180" spans="6:7" ht="12.75">
      <c r="F180" s="49"/>
      <c r="G180" s="31"/>
    </row>
    <row r="181" spans="6:7" ht="12.75">
      <c r="F181" s="49"/>
      <c r="G181" s="31"/>
    </row>
    <row r="182" spans="6:7" ht="12.75">
      <c r="F182" s="49"/>
      <c r="G182" s="31"/>
    </row>
    <row r="183" spans="6:7" ht="12.75">
      <c r="F183" s="49"/>
      <c r="G183" s="31"/>
    </row>
    <row r="184" spans="6:7" ht="12.75">
      <c r="F184" s="49"/>
      <c r="G184" s="31"/>
    </row>
    <row r="185" spans="6:7" ht="12.75">
      <c r="F185" s="49"/>
      <c r="G185" s="31"/>
    </row>
    <row r="186" spans="6:7" ht="12.75">
      <c r="F186" s="49"/>
      <c r="G186" s="31"/>
    </row>
    <row r="187" spans="6:7" ht="12.75">
      <c r="F187" s="49"/>
      <c r="G187" s="31"/>
    </row>
    <row r="188" spans="6:7" ht="12.75">
      <c r="F188" s="49"/>
      <c r="G188" s="31"/>
    </row>
    <row r="189" spans="6:7" ht="12.75">
      <c r="F189" s="49"/>
      <c r="G189" s="31"/>
    </row>
    <row r="190" spans="6:7" ht="12.75">
      <c r="F190" s="49"/>
      <c r="G190" s="31"/>
    </row>
    <row r="191" spans="6:7" ht="12.75">
      <c r="F191" s="49"/>
      <c r="G191" s="31"/>
    </row>
    <row r="192" spans="6:7" ht="12.75">
      <c r="F192" s="49"/>
      <c r="G192" s="31"/>
    </row>
    <row r="193" spans="6:7" ht="12.75">
      <c r="F193" s="49"/>
      <c r="G193" s="31"/>
    </row>
    <row r="194" spans="6:7" ht="12.75">
      <c r="F194" s="49"/>
      <c r="G194" s="31"/>
    </row>
    <row r="195" spans="6:7" ht="12.75">
      <c r="F195" s="49"/>
      <c r="G195" s="31"/>
    </row>
    <row r="196" spans="6:7" ht="12.75">
      <c r="F196" s="49"/>
      <c r="G196" s="31"/>
    </row>
    <row r="197" spans="6:7" ht="12.75">
      <c r="F197" s="49"/>
      <c r="G197" s="31"/>
    </row>
    <row r="198" spans="6:7" ht="12.75">
      <c r="F198" s="49"/>
      <c r="G198" s="31"/>
    </row>
    <row r="199" spans="6:7" ht="12.75">
      <c r="F199" s="49"/>
      <c r="G199" s="31"/>
    </row>
    <row r="200" spans="6:7" ht="12.75">
      <c r="F200" s="49"/>
      <c r="G200" s="31"/>
    </row>
    <row r="201" spans="6:7" ht="12.75">
      <c r="F201" s="49"/>
      <c r="G201" s="31"/>
    </row>
    <row r="202" spans="6:7" ht="12.75">
      <c r="F202" s="49"/>
      <c r="G202" s="31"/>
    </row>
    <row r="203" spans="6:7" ht="12.75">
      <c r="F203" s="49"/>
      <c r="G203" s="31"/>
    </row>
    <row r="204" spans="6:7" ht="12.75">
      <c r="F204" s="49"/>
      <c r="G204" s="31"/>
    </row>
    <row r="205" spans="6:7" ht="12.75">
      <c r="F205" s="49"/>
      <c r="G205" s="31"/>
    </row>
    <row r="206" spans="6:7" ht="12.75">
      <c r="F206" s="49"/>
      <c r="G206" s="31"/>
    </row>
    <row r="207" spans="6:7" ht="12.75">
      <c r="F207" s="49"/>
      <c r="G207" s="31"/>
    </row>
    <row r="208" spans="6:7" ht="12.75">
      <c r="F208" s="49"/>
      <c r="G208" s="31"/>
    </row>
    <row r="209" spans="6:7" ht="12.75">
      <c r="F209" s="49"/>
      <c r="G209" s="31"/>
    </row>
    <row r="210" spans="6:7" ht="12.75">
      <c r="F210" s="49"/>
      <c r="G210" s="31"/>
    </row>
    <row r="211" spans="6:7" ht="12.75">
      <c r="F211" s="49"/>
      <c r="G211" s="31"/>
    </row>
    <row r="212" spans="6:7" ht="12.75">
      <c r="F212" s="49"/>
      <c r="G212" s="31"/>
    </row>
    <row r="213" spans="6:7" ht="12.75">
      <c r="F213" s="49"/>
      <c r="G213" s="31"/>
    </row>
    <row r="214" spans="6:7" ht="12.75">
      <c r="F214" s="49"/>
      <c r="G214" s="31"/>
    </row>
    <row r="215" spans="6:7" ht="12.75">
      <c r="F215" s="49"/>
      <c r="G215" s="31"/>
    </row>
    <row r="216" spans="6:7" ht="12.75">
      <c r="F216" s="49"/>
      <c r="G216" s="31"/>
    </row>
    <row r="217" spans="6:7" ht="12.75">
      <c r="F217" s="49"/>
      <c r="G217" s="31"/>
    </row>
    <row r="218" spans="6:7" ht="12.75">
      <c r="F218" s="49"/>
      <c r="G218" s="31"/>
    </row>
    <row r="219" spans="6:7" ht="12.75">
      <c r="F219" s="49"/>
      <c r="G219" s="31"/>
    </row>
    <row r="220" spans="6:7" ht="12.75">
      <c r="F220" s="49"/>
      <c r="G220" s="31"/>
    </row>
    <row r="221" spans="6:7" ht="12.75">
      <c r="F221" s="49"/>
      <c r="G221" s="31"/>
    </row>
    <row r="222" spans="6:7" ht="12.75">
      <c r="F222" s="49"/>
      <c r="G222" s="31"/>
    </row>
    <row r="223" spans="6:7" ht="12.75">
      <c r="F223" s="49"/>
      <c r="G223" s="31"/>
    </row>
    <row r="224" spans="6:7" ht="12.75">
      <c r="F224" s="49"/>
      <c r="G224" s="31"/>
    </row>
    <row r="225" spans="6:7" ht="12.75">
      <c r="F225" s="49"/>
      <c r="G225" s="31"/>
    </row>
    <row r="226" spans="6:7" ht="12.75">
      <c r="F226" s="49"/>
      <c r="G226" s="31"/>
    </row>
    <row r="227" spans="6:7" ht="12.75">
      <c r="F227" s="49"/>
      <c r="G227" s="31"/>
    </row>
    <row r="228" spans="6:7" ht="12.75">
      <c r="F228" s="49"/>
      <c r="G228" s="31"/>
    </row>
    <row r="229" spans="6:7" ht="12.75">
      <c r="F229" s="49"/>
      <c r="G229" s="31"/>
    </row>
    <row r="230" spans="6:7" ht="12.75">
      <c r="F230" s="49"/>
      <c r="G230" s="31"/>
    </row>
    <row r="231" spans="6:7" ht="12.75">
      <c r="F231" s="49"/>
      <c r="G231" s="31"/>
    </row>
    <row r="232" spans="6:7" ht="12.75">
      <c r="F232" s="49"/>
      <c r="G232" s="31"/>
    </row>
    <row r="233" spans="6:7" ht="12.75">
      <c r="F233" s="49"/>
      <c r="G233" s="31"/>
    </row>
    <row r="234" spans="6:7" ht="12.75">
      <c r="F234" s="49"/>
      <c r="G234" s="31"/>
    </row>
    <row r="235" spans="6:7" ht="12.75">
      <c r="F235" s="49"/>
      <c r="G235" s="31"/>
    </row>
    <row r="236" spans="6:7" ht="12.75">
      <c r="F236" s="49"/>
      <c r="G236" s="31"/>
    </row>
    <row r="237" spans="6:7" ht="12.75">
      <c r="F237" s="49"/>
      <c r="G237" s="31"/>
    </row>
    <row r="238" spans="6:7" ht="12.75">
      <c r="F238" s="49"/>
      <c r="G238" s="31"/>
    </row>
    <row r="239" spans="6:7" ht="12.75">
      <c r="F239" s="49"/>
      <c r="G239" s="31"/>
    </row>
    <row r="240" spans="6:7" ht="12.75">
      <c r="F240" s="49"/>
      <c r="G240" s="31"/>
    </row>
    <row r="241" spans="6:7" ht="12.75">
      <c r="F241" s="49"/>
      <c r="G241" s="31"/>
    </row>
    <row r="242" spans="6:7" ht="12.75">
      <c r="F242" s="49"/>
      <c r="G242" s="31"/>
    </row>
    <row r="243" spans="6:7" ht="12.75">
      <c r="F243" s="49"/>
      <c r="G243" s="31"/>
    </row>
    <row r="244" spans="6:7" ht="12.75">
      <c r="F244" s="49"/>
      <c r="G244" s="31"/>
    </row>
    <row r="245" spans="6:7" ht="12.75">
      <c r="F245" s="49"/>
      <c r="G245" s="31"/>
    </row>
    <row r="246" spans="6:7" ht="12.75">
      <c r="F246" s="49"/>
      <c r="G246" s="31"/>
    </row>
    <row r="247" spans="6:7" ht="12.75">
      <c r="F247" s="49"/>
      <c r="G247" s="31"/>
    </row>
    <row r="248" spans="6:7" ht="12.75">
      <c r="F248" s="49"/>
      <c r="G248" s="31"/>
    </row>
    <row r="249" spans="6:7" ht="12.75">
      <c r="F249" s="49"/>
      <c r="G249" s="31"/>
    </row>
    <row r="250" spans="6:7" ht="12.75">
      <c r="F250" s="49"/>
      <c r="G250" s="31"/>
    </row>
    <row r="251" spans="6:7" ht="12.75">
      <c r="F251" s="49"/>
      <c r="G251" s="31"/>
    </row>
    <row r="252" spans="6:7" ht="12.75">
      <c r="F252" s="49"/>
      <c r="G252" s="31"/>
    </row>
    <row r="253" spans="6:7" ht="12.75">
      <c r="F253" s="49"/>
      <c r="G253" s="31"/>
    </row>
    <row r="254" spans="6:7" ht="12.75">
      <c r="F254" s="49"/>
      <c r="G254" s="31"/>
    </row>
    <row r="255" spans="6:7" ht="12.75">
      <c r="F255" s="49"/>
      <c r="G255" s="31"/>
    </row>
    <row r="256" spans="6:7" ht="12.75">
      <c r="F256" s="49"/>
      <c r="G256" s="31"/>
    </row>
    <row r="257" spans="6:7" ht="12.75">
      <c r="F257" s="49"/>
      <c r="G257" s="31"/>
    </row>
    <row r="258" spans="6:7" ht="12.75">
      <c r="F258" s="49"/>
      <c r="G258" s="31"/>
    </row>
    <row r="259" spans="6:7" ht="12.75">
      <c r="F259" s="49"/>
      <c r="G259" s="31"/>
    </row>
    <row r="260" spans="6:7" ht="12.75">
      <c r="F260" s="49"/>
      <c r="G260" s="31"/>
    </row>
    <row r="261" spans="6:7" ht="12.75">
      <c r="F261" s="49"/>
      <c r="G261" s="31"/>
    </row>
    <row r="262" spans="6:7" ht="12.75">
      <c r="F262" s="49"/>
      <c r="G262" s="31"/>
    </row>
    <row r="263" spans="6:7" ht="12.75">
      <c r="F263" s="49"/>
      <c r="G263" s="31"/>
    </row>
    <row r="264" spans="6:7" ht="12.75">
      <c r="F264" s="49"/>
      <c r="G264" s="31"/>
    </row>
    <row r="265" spans="6:7" ht="12.75">
      <c r="F265" s="49"/>
      <c r="G265" s="31"/>
    </row>
    <row r="266" spans="6:7" ht="12.75">
      <c r="F266" s="49"/>
      <c r="G266" s="31"/>
    </row>
    <row r="267" spans="6:7" ht="12.75">
      <c r="F267" s="49"/>
      <c r="G267" s="31"/>
    </row>
    <row r="268" spans="6:7" ht="12.75">
      <c r="F268" s="49"/>
      <c r="G268" s="31"/>
    </row>
    <row r="269" spans="6:7" ht="12.75">
      <c r="F269" s="49"/>
      <c r="G269" s="31"/>
    </row>
    <row r="270" spans="6:7" ht="12.75">
      <c r="F270" s="49"/>
      <c r="G270" s="31"/>
    </row>
    <row r="271" spans="6:7" ht="12.75">
      <c r="F271" s="49"/>
      <c r="G271" s="31"/>
    </row>
    <row r="272" spans="6:7" ht="12.75">
      <c r="F272" s="49"/>
      <c r="G272" s="31"/>
    </row>
    <row r="273" spans="6:7" ht="12.75">
      <c r="F273" s="49"/>
      <c r="G273" s="31"/>
    </row>
    <row r="274" spans="6:7" ht="12.75">
      <c r="F274" s="49"/>
      <c r="G274" s="31"/>
    </row>
    <row r="275" spans="6:7" ht="12.75">
      <c r="F275" s="49"/>
      <c r="G275" s="31"/>
    </row>
    <row r="276" spans="6:7" ht="12.75">
      <c r="F276" s="49"/>
      <c r="G276" s="31"/>
    </row>
    <row r="277" spans="6:7" ht="12.75">
      <c r="F277" s="49"/>
      <c r="G277" s="31"/>
    </row>
    <row r="278" spans="6:7" ht="12.75">
      <c r="F278" s="49"/>
      <c r="G278" s="31"/>
    </row>
    <row r="279" spans="6:7" ht="12.75">
      <c r="F279" s="49"/>
      <c r="G279" s="31"/>
    </row>
    <row r="280" spans="6:7" ht="12.75">
      <c r="F280" s="49"/>
      <c r="G280" s="31"/>
    </row>
    <row r="281" spans="6:7" ht="12.75">
      <c r="F281" s="49"/>
      <c r="G281" s="31"/>
    </row>
    <row r="282" spans="6:7" ht="12.75">
      <c r="F282" s="49"/>
      <c r="G282" s="31"/>
    </row>
    <row r="283" spans="6:7" ht="12.75">
      <c r="F283" s="49"/>
      <c r="G283" s="31"/>
    </row>
    <row r="284" spans="6:7" ht="12.75">
      <c r="F284" s="49"/>
      <c r="G284" s="31"/>
    </row>
    <row r="285" spans="6:7" ht="12.75">
      <c r="F285" s="49"/>
      <c r="G285" s="31"/>
    </row>
    <row r="286" spans="6:7" ht="12.75">
      <c r="F286" s="49"/>
      <c r="G286" s="31"/>
    </row>
    <row r="287" spans="6:7" ht="12.75">
      <c r="F287" s="49"/>
      <c r="G287" s="31"/>
    </row>
    <row r="288" spans="6:7" ht="12.75">
      <c r="F288" s="49"/>
      <c r="G288" s="31"/>
    </row>
    <row r="289" spans="6:7" ht="12.75">
      <c r="F289" s="49"/>
      <c r="G289" s="31"/>
    </row>
    <row r="290" spans="6:7" ht="12.75">
      <c r="F290" s="49"/>
      <c r="G290" s="31"/>
    </row>
    <row r="291" spans="6:7" ht="12.75">
      <c r="F291" s="49"/>
      <c r="G291" s="31"/>
    </row>
    <row r="292" spans="6:7" ht="12.75">
      <c r="F292" s="49"/>
      <c r="G292" s="31"/>
    </row>
    <row r="293" spans="6:7" ht="12.75">
      <c r="F293" s="49"/>
      <c r="G293" s="31"/>
    </row>
    <row r="294" spans="6:7" ht="12.75">
      <c r="F294" s="49"/>
      <c r="G294" s="31"/>
    </row>
    <row r="295" spans="6:7" ht="12.75">
      <c r="F295" s="49"/>
      <c r="G295" s="31"/>
    </row>
    <row r="296" spans="6:7" ht="12.75">
      <c r="F296" s="49"/>
      <c r="G296" s="31"/>
    </row>
    <row r="297" spans="6:7" ht="12.75">
      <c r="F297" s="49"/>
      <c r="G297" s="31"/>
    </row>
    <row r="298" spans="6:7" ht="12.75">
      <c r="F298" s="49"/>
      <c r="G298" s="31"/>
    </row>
    <row r="299" spans="6:7" ht="12.75">
      <c r="F299" s="49"/>
      <c r="G299" s="31"/>
    </row>
    <row r="300" spans="6:7" ht="12.75">
      <c r="F300" s="49"/>
      <c r="G300" s="31"/>
    </row>
    <row r="301" spans="6:7" ht="12.75">
      <c r="F301" s="49"/>
      <c r="G301" s="31"/>
    </row>
    <row r="302" spans="6:7" ht="12.75">
      <c r="F302" s="49"/>
      <c r="G302" s="31"/>
    </row>
    <row r="303" spans="6:7" ht="12.75">
      <c r="F303" s="49"/>
      <c r="G303" s="31"/>
    </row>
    <row r="304" spans="6:7" ht="12.75">
      <c r="F304" s="49"/>
      <c r="G304" s="31"/>
    </row>
    <row r="305" spans="6:7" ht="12.75">
      <c r="F305" s="49"/>
      <c r="G305" s="31"/>
    </row>
    <row r="306" spans="6:7" ht="12.75">
      <c r="F306" s="49"/>
      <c r="G306" s="31"/>
    </row>
    <row r="307" spans="6:7" ht="12.75">
      <c r="F307" s="49"/>
      <c r="G307" s="31"/>
    </row>
    <row r="308" spans="6:7" ht="12.75">
      <c r="F308" s="49"/>
      <c r="G308" s="31"/>
    </row>
    <row r="309" spans="6:7" ht="12.75">
      <c r="F309" s="49"/>
      <c r="G309" s="31"/>
    </row>
    <row r="310" spans="6:7" ht="12.75">
      <c r="F310" s="49"/>
      <c r="G310" s="31"/>
    </row>
    <row r="311" spans="6:7" ht="12.75">
      <c r="F311" s="49"/>
      <c r="G311" s="31"/>
    </row>
    <row r="312" spans="6:7" ht="12.75">
      <c r="F312" s="49"/>
      <c r="G312" s="31"/>
    </row>
    <row r="313" spans="6:7" ht="12.75">
      <c r="F313" s="49"/>
      <c r="G313" s="31"/>
    </row>
    <row r="314" spans="6:7" ht="12.75">
      <c r="F314" s="49"/>
      <c r="G314" s="31"/>
    </row>
    <row r="315" spans="6:7" ht="12.75">
      <c r="F315" s="49"/>
      <c r="G315" s="31"/>
    </row>
    <row r="316" spans="6:7" ht="12.75">
      <c r="F316" s="49"/>
      <c r="G316" s="31"/>
    </row>
    <row r="317" spans="6:7" ht="12.75">
      <c r="F317" s="49"/>
      <c r="G317" s="31"/>
    </row>
    <row r="318" spans="6:7" ht="12.75">
      <c r="F318" s="49"/>
      <c r="G318" s="31"/>
    </row>
    <row r="319" spans="6:7" ht="12.75">
      <c r="F319" s="49"/>
      <c r="G319" s="31"/>
    </row>
    <row r="320" spans="6:7" ht="12.75">
      <c r="F320" s="49"/>
      <c r="G320" s="31"/>
    </row>
    <row r="321" spans="6:7" ht="12.75">
      <c r="F321" s="49"/>
      <c r="G321" s="31"/>
    </row>
    <row r="322" spans="6:7" ht="12.75">
      <c r="F322" s="49"/>
      <c r="G322" s="31"/>
    </row>
    <row r="323" spans="6:7" ht="12.75">
      <c r="F323" s="49"/>
      <c r="G323" s="31"/>
    </row>
    <row r="324" spans="6:7" ht="12.75">
      <c r="F324" s="49"/>
      <c r="G324" s="31"/>
    </row>
    <row r="325" spans="6:7" ht="12.75">
      <c r="F325" s="49"/>
      <c r="G325" s="31"/>
    </row>
    <row r="326" spans="6:7" ht="12.75">
      <c r="F326" s="49"/>
      <c r="G326" s="31"/>
    </row>
    <row r="327" spans="6:7" ht="12.75">
      <c r="F327" s="49"/>
      <c r="G327" s="31"/>
    </row>
    <row r="328" spans="6:7" ht="12.75">
      <c r="F328" s="49"/>
      <c r="G328" s="31"/>
    </row>
    <row r="329" spans="6:7" ht="12.75">
      <c r="F329" s="49"/>
      <c r="G329" s="31"/>
    </row>
    <row r="330" spans="6:7" ht="12.75">
      <c r="F330" s="49"/>
      <c r="G330" s="31"/>
    </row>
    <row r="331" spans="6:7" ht="12.75">
      <c r="F331" s="49"/>
      <c r="G331" s="31"/>
    </row>
    <row r="332" spans="6:7" ht="12.75">
      <c r="F332" s="49"/>
      <c r="G332" s="31"/>
    </row>
    <row r="333" spans="6:7" ht="12.75">
      <c r="F333" s="49"/>
      <c r="G333" s="31"/>
    </row>
    <row r="334" spans="6:7" ht="12.75">
      <c r="F334" s="49"/>
      <c r="G334" s="31"/>
    </row>
    <row r="335" spans="6:7" ht="12.75">
      <c r="F335" s="49"/>
      <c r="G335" s="31"/>
    </row>
    <row r="336" spans="6:7" ht="12.75">
      <c r="F336" s="49"/>
      <c r="G336" s="31"/>
    </row>
    <row r="337" spans="6:7" ht="12.75">
      <c r="F337" s="49"/>
      <c r="G337" s="31"/>
    </row>
    <row r="338" spans="6:7" ht="12.75">
      <c r="F338" s="49"/>
      <c r="G338" s="31"/>
    </row>
    <row r="339" spans="6:7" ht="12.75">
      <c r="F339" s="49"/>
      <c r="G339" s="31"/>
    </row>
    <row r="340" spans="6:7" ht="12.75">
      <c r="F340" s="49"/>
      <c r="G340" s="31"/>
    </row>
    <row r="341" spans="6:7" ht="12.75">
      <c r="F341" s="49"/>
      <c r="G341" s="31"/>
    </row>
    <row r="342" spans="6:7" ht="12.75">
      <c r="F342" s="49"/>
      <c r="G342" s="31"/>
    </row>
    <row r="343" spans="6:7" ht="12.75">
      <c r="F343" s="49"/>
      <c r="G343" s="31"/>
    </row>
    <row r="344" spans="6:7" ht="12.75">
      <c r="F344" s="49"/>
      <c r="G344" s="31"/>
    </row>
    <row r="345" spans="6:7" ht="12.75">
      <c r="F345" s="49"/>
      <c r="G345" s="31"/>
    </row>
    <row r="346" spans="6:7" ht="12.75">
      <c r="F346" s="49"/>
      <c r="G346" s="31"/>
    </row>
    <row r="347" spans="6:7" ht="12.75">
      <c r="F347" s="49"/>
      <c r="G347" s="31"/>
    </row>
    <row r="348" spans="6:7" ht="12.75">
      <c r="F348" s="49"/>
      <c r="G348" s="31"/>
    </row>
    <row r="349" spans="6:7" ht="12.75">
      <c r="F349" s="49"/>
      <c r="G349" s="31"/>
    </row>
    <row r="350" spans="6:7" ht="12.75">
      <c r="F350" s="49"/>
      <c r="G350" s="31"/>
    </row>
    <row r="351" spans="6:7" ht="12.75">
      <c r="F351" s="49"/>
      <c r="G351" s="31"/>
    </row>
    <row r="352" spans="6:7" ht="12.75">
      <c r="F352" s="49"/>
      <c r="G352" s="31"/>
    </row>
    <row r="353" spans="6:7" ht="12.75">
      <c r="F353" s="49"/>
      <c r="G353" s="31"/>
    </row>
    <row r="354" spans="6:7" ht="12.75">
      <c r="F354" s="49"/>
      <c r="G354" s="31"/>
    </row>
    <row r="355" spans="6:7" ht="12.75">
      <c r="F355" s="49"/>
      <c r="G355" s="31"/>
    </row>
    <row r="356" spans="6:7" ht="12.75">
      <c r="F356" s="49"/>
      <c r="G356" s="31"/>
    </row>
    <row r="357" spans="6:7" ht="12.75">
      <c r="F357" s="49"/>
      <c r="G357" s="31"/>
    </row>
    <row r="358" spans="6:7" ht="12.75">
      <c r="F358" s="49"/>
      <c r="G358" s="31"/>
    </row>
    <row r="359" spans="6:7" ht="12.75">
      <c r="F359" s="49"/>
      <c r="G359" s="31"/>
    </row>
    <row r="360" spans="6:7" ht="12.75">
      <c r="F360" s="49"/>
      <c r="G360" s="31"/>
    </row>
    <row r="361" spans="6:7" ht="12.75">
      <c r="F361" s="49"/>
      <c r="G361" s="31"/>
    </row>
    <row r="362" spans="6:7" ht="12.75">
      <c r="F362" s="49"/>
      <c r="G362" s="31"/>
    </row>
    <row r="363" spans="6:7" ht="12.75">
      <c r="F363" s="49"/>
      <c r="G363" s="31"/>
    </row>
    <row r="364" spans="6:7" ht="12.75">
      <c r="F364" s="49"/>
      <c r="G364" s="31"/>
    </row>
    <row r="365" spans="6:7" ht="12.75">
      <c r="F365" s="49"/>
      <c r="G365" s="31"/>
    </row>
    <row r="366" spans="6:7" ht="12.75">
      <c r="F366" s="49"/>
      <c r="G366" s="31"/>
    </row>
    <row r="367" spans="6:7" ht="12.75">
      <c r="F367" s="49"/>
      <c r="G367" s="31"/>
    </row>
    <row r="368" spans="6:7" ht="12.75">
      <c r="F368" s="49"/>
      <c r="G368" s="31"/>
    </row>
    <row r="369" spans="6:7" ht="12.75">
      <c r="F369" s="49"/>
      <c r="G369" s="31"/>
    </row>
    <row r="370" spans="6:7" ht="12.75">
      <c r="F370" s="49"/>
      <c r="G370" s="31"/>
    </row>
    <row r="371" spans="6:7" ht="12.75">
      <c r="F371" s="49"/>
      <c r="G371" s="31"/>
    </row>
    <row r="372" spans="6:7" ht="12.75">
      <c r="F372" s="49"/>
      <c r="G372" s="31"/>
    </row>
    <row r="373" spans="6:7" ht="12.75">
      <c r="F373" s="49"/>
      <c r="G373" s="31"/>
    </row>
    <row r="374" spans="6:7" ht="12.75">
      <c r="F374" s="49"/>
      <c r="G374" s="31"/>
    </row>
    <row r="375" spans="6:7" ht="12.75">
      <c r="F375" s="49"/>
      <c r="G375" s="31"/>
    </row>
    <row r="376" spans="6:7" ht="12.75">
      <c r="F376" s="49"/>
      <c r="G376" s="31"/>
    </row>
    <row r="377" spans="6:7" ht="12.75">
      <c r="F377" s="49"/>
      <c r="G377" s="31"/>
    </row>
    <row r="378" spans="6:7" ht="12.75">
      <c r="F378" s="49"/>
      <c r="G378" s="31"/>
    </row>
    <row r="379" spans="6:7" ht="12.75">
      <c r="F379" s="49"/>
      <c r="G379" s="31"/>
    </row>
    <row r="380" spans="6:7" ht="12.75">
      <c r="F380" s="49"/>
      <c r="G380" s="31"/>
    </row>
    <row r="381" spans="6:7" ht="12.75">
      <c r="F381" s="49"/>
      <c r="G381" s="31"/>
    </row>
    <row r="382" spans="6:7" ht="12.75">
      <c r="F382" s="49"/>
      <c r="G382" s="31"/>
    </row>
    <row r="383" spans="6:7" ht="12.75">
      <c r="F383" s="49"/>
      <c r="G383" s="31"/>
    </row>
    <row r="384" spans="6:7" ht="12.75">
      <c r="F384" s="49"/>
      <c r="G384" s="31"/>
    </row>
    <row r="385" spans="6:7" ht="12.75">
      <c r="F385" s="49"/>
      <c r="G385" s="31"/>
    </row>
    <row r="386" spans="6:7" ht="12.75">
      <c r="F386" s="49"/>
      <c r="G386" s="31"/>
    </row>
    <row r="387" spans="6:7" ht="12.75">
      <c r="F387" s="49"/>
      <c r="G387" s="31"/>
    </row>
    <row r="388" spans="6:7" ht="12.75">
      <c r="F388" s="49"/>
      <c r="G388" s="31"/>
    </row>
    <row r="389" spans="6:7" ht="12.75">
      <c r="F389" s="49"/>
      <c r="G389" s="31"/>
    </row>
    <row r="390" spans="6:7" ht="12.75">
      <c r="F390" s="49"/>
      <c r="G390" s="31"/>
    </row>
    <row r="391" spans="6:7" ht="12.75">
      <c r="F391" s="49"/>
      <c r="G391" s="31"/>
    </row>
    <row r="392" spans="6:7" ht="12.75">
      <c r="F392" s="49"/>
      <c r="G392" s="31"/>
    </row>
    <row r="393" spans="6:7" ht="12.75">
      <c r="F393" s="49"/>
      <c r="G393" s="31"/>
    </row>
    <row r="394" spans="6:7" ht="12.75">
      <c r="F394" s="49"/>
      <c r="G394" s="31"/>
    </row>
    <row r="395" spans="6:7" ht="12.75">
      <c r="F395" s="49"/>
      <c r="G395" s="31"/>
    </row>
    <row r="396" spans="6:7" ht="12.75">
      <c r="F396" s="49"/>
      <c r="G396" s="31"/>
    </row>
    <row r="397" spans="6:7" ht="12.75">
      <c r="F397" s="49"/>
      <c r="G397" s="31"/>
    </row>
    <row r="398" spans="6:7" ht="12.75">
      <c r="F398" s="49"/>
      <c r="G398" s="31"/>
    </row>
    <row r="399" spans="6:7" ht="12.75">
      <c r="F399" s="49"/>
      <c r="G399" s="31"/>
    </row>
    <row r="400" spans="6:7" ht="12.75">
      <c r="F400" s="49"/>
      <c r="G400" s="31"/>
    </row>
    <row r="401" spans="6:7" ht="12.75">
      <c r="F401" s="49"/>
      <c r="G401" s="31"/>
    </row>
    <row r="402" spans="6:7" ht="12.75">
      <c r="F402" s="49"/>
      <c r="G402" s="31"/>
    </row>
    <row r="403" spans="6:7" ht="12.75">
      <c r="F403" s="49"/>
      <c r="G403" s="31"/>
    </row>
    <row r="404" spans="6:7" ht="12.75">
      <c r="F404" s="49"/>
      <c r="G404" s="31"/>
    </row>
    <row r="405" spans="6:7" ht="12.75">
      <c r="F405" s="49"/>
      <c r="G405" s="31"/>
    </row>
    <row r="406" spans="6:7" ht="12.75">
      <c r="F406" s="49"/>
      <c r="G406" s="31"/>
    </row>
    <row r="407" spans="6:7" ht="12.75">
      <c r="F407" s="49"/>
      <c r="G407" s="31"/>
    </row>
    <row r="408" spans="6:7" ht="12.75">
      <c r="F408" s="49"/>
      <c r="G408" s="31"/>
    </row>
    <row r="409" spans="6:7" ht="12.75">
      <c r="F409" s="49"/>
      <c r="G409" s="31"/>
    </row>
    <row r="410" spans="6:7" ht="12.75">
      <c r="F410" s="49"/>
      <c r="G410" s="31"/>
    </row>
    <row r="411" spans="6:7" ht="12.75">
      <c r="F411" s="49"/>
      <c r="G411" s="31"/>
    </row>
    <row r="412" spans="6:7" ht="12.75">
      <c r="F412" s="49"/>
      <c r="G412" s="31"/>
    </row>
    <row r="413" spans="6:7" ht="12.75">
      <c r="F413" s="49"/>
      <c r="G413" s="31"/>
    </row>
    <row r="414" spans="6:7" ht="12.75">
      <c r="F414" s="49"/>
      <c r="G414" s="31"/>
    </row>
    <row r="415" spans="6:7" ht="12.75">
      <c r="F415" s="49"/>
      <c r="G415" s="31"/>
    </row>
    <row r="416" spans="6:7" ht="12.75">
      <c r="F416" s="49"/>
      <c r="G416" s="31"/>
    </row>
    <row r="417" spans="6:7" ht="12.75">
      <c r="F417" s="49"/>
      <c r="G417" s="31"/>
    </row>
    <row r="418" spans="6:7" ht="12.75">
      <c r="F418" s="49"/>
      <c r="G418" s="31"/>
    </row>
    <row r="419" spans="6:7" ht="12.75">
      <c r="F419" s="49"/>
      <c r="G419" s="31"/>
    </row>
    <row r="420" spans="6:7" ht="12.75">
      <c r="F420" s="49"/>
      <c r="G420" s="31"/>
    </row>
    <row r="421" spans="6:7" ht="12.75">
      <c r="F421" s="49"/>
      <c r="G421" s="31"/>
    </row>
    <row r="422" spans="6:7" ht="12.75">
      <c r="F422" s="49"/>
      <c r="G422" s="31"/>
    </row>
    <row r="423" spans="6:7" ht="12.75">
      <c r="F423" s="49"/>
      <c r="G423" s="31"/>
    </row>
    <row r="424" spans="6:7" ht="12.75">
      <c r="F424" s="49"/>
      <c r="G424" s="31"/>
    </row>
    <row r="425" spans="6:7" ht="12.75">
      <c r="F425" s="49"/>
      <c r="G425" s="31"/>
    </row>
    <row r="426" spans="6:7" ht="12.75">
      <c r="F426" s="49"/>
      <c r="G426" s="31"/>
    </row>
    <row r="427" spans="6:7" ht="12.75">
      <c r="F427" s="49"/>
      <c r="G427" s="31"/>
    </row>
    <row r="428" spans="6:7" ht="12.75">
      <c r="F428" s="49"/>
      <c r="G428" s="31"/>
    </row>
    <row r="429" spans="6:7" ht="12.75">
      <c r="F429" s="49"/>
      <c r="G429" s="31"/>
    </row>
    <row r="430" spans="6:7" ht="12.75">
      <c r="F430" s="49"/>
      <c r="G430" s="31"/>
    </row>
    <row r="431" spans="6:7" ht="12.75">
      <c r="F431" s="49"/>
      <c r="G431" s="31"/>
    </row>
    <row r="432" spans="6:7" ht="12.75">
      <c r="F432" s="49"/>
      <c r="G432" s="31"/>
    </row>
    <row r="433" spans="6:7" ht="12.75">
      <c r="F433" s="49"/>
      <c r="G433" s="31"/>
    </row>
    <row r="434" spans="6:7" ht="12.75">
      <c r="F434" s="49"/>
      <c r="G434" s="31"/>
    </row>
    <row r="435" spans="6:7" ht="12.75">
      <c r="F435" s="49"/>
      <c r="G435" s="31"/>
    </row>
    <row r="436" spans="6:7" ht="12.75">
      <c r="F436" s="49"/>
      <c r="G436" s="31"/>
    </row>
    <row r="437" spans="6:7" ht="12.75">
      <c r="F437" s="49"/>
      <c r="G437" s="31"/>
    </row>
    <row r="438" spans="6:7" ht="12.75">
      <c r="F438" s="49"/>
      <c r="G438" s="31"/>
    </row>
    <row r="439" spans="6:7" ht="12.75">
      <c r="F439" s="49"/>
      <c r="G439" s="31"/>
    </row>
    <row r="440" spans="6:7" ht="12.75">
      <c r="F440" s="49"/>
      <c r="G440" s="31"/>
    </row>
    <row r="441" spans="6:7" ht="12.75">
      <c r="F441" s="49"/>
      <c r="G441" s="31"/>
    </row>
    <row r="442" spans="6:7" ht="12.75">
      <c r="F442" s="49"/>
      <c r="G442" s="31"/>
    </row>
    <row r="443" spans="6:7" ht="12.75">
      <c r="F443" s="49"/>
      <c r="G443" s="31"/>
    </row>
    <row r="444" spans="6:7" ht="12.75">
      <c r="F444" s="49"/>
      <c r="G444" s="31"/>
    </row>
    <row r="445" spans="6:7" ht="12.75">
      <c r="F445" s="49"/>
      <c r="G445" s="31"/>
    </row>
    <row r="446" spans="6:7" ht="12.75">
      <c r="F446" s="49"/>
      <c r="G446" s="31"/>
    </row>
    <row r="447" spans="6:7" ht="12.75">
      <c r="F447" s="49"/>
      <c r="G447" s="31"/>
    </row>
    <row r="448" spans="6:7" ht="12.75">
      <c r="F448" s="49"/>
      <c r="G448" s="31"/>
    </row>
    <row r="449" spans="6:7" ht="12.75">
      <c r="F449" s="49"/>
      <c r="G449" s="31"/>
    </row>
    <row r="450" spans="6:7" ht="12.75">
      <c r="F450" s="49"/>
      <c r="G450" s="31"/>
    </row>
    <row r="451" spans="6:7" ht="12.75">
      <c r="F451" s="49"/>
      <c r="G451" s="31"/>
    </row>
    <row r="452" spans="6:7" ht="12.75">
      <c r="F452" s="49"/>
      <c r="G452" s="31"/>
    </row>
    <row r="453" spans="6:7" ht="12.75">
      <c r="F453" s="49"/>
      <c r="G453" s="31"/>
    </row>
    <row r="454" spans="6:7" ht="12.75">
      <c r="F454" s="49"/>
      <c r="G454" s="31"/>
    </row>
    <row r="455" spans="6:7" ht="12.75">
      <c r="F455" s="49"/>
      <c r="G455" s="31"/>
    </row>
    <row r="456" spans="6:7" ht="12.75">
      <c r="F456" s="49"/>
      <c r="G456" s="31"/>
    </row>
    <row r="457" spans="6:7" ht="12.75">
      <c r="F457" s="49"/>
      <c r="G457" s="31"/>
    </row>
    <row r="458" spans="6:7" ht="12.75">
      <c r="F458" s="49"/>
      <c r="G458" s="31"/>
    </row>
    <row r="459" spans="6:7" ht="12.75">
      <c r="F459" s="49"/>
      <c r="G459" s="31"/>
    </row>
    <row r="460" spans="6:7" ht="12.75">
      <c r="F460" s="49"/>
      <c r="G460" s="31"/>
    </row>
    <row r="461" spans="6:7" ht="12.75">
      <c r="F461" s="49"/>
      <c r="G461" s="31"/>
    </row>
    <row r="462" spans="6:7" ht="12.75">
      <c r="F462" s="49"/>
      <c r="G462" s="31"/>
    </row>
    <row r="463" spans="6:7" ht="12.75">
      <c r="F463" s="49"/>
      <c r="G463" s="31"/>
    </row>
    <row r="464" spans="6:7" ht="12.75">
      <c r="F464" s="49"/>
      <c r="G464" s="31"/>
    </row>
    <row r="465" spans="6:7" ht="12.75">
      <c r="F465" s="49"/>
      <c r="G465" s="31"/>
    </row>
    <row r="466" spans="6:7" ht="12.75">
      <c r="F466" s="49"/>
      <c r="G466" s="31"/>
    </row>
    <row r="467" spans="6:7" ht="12.75">
      <c r="F467" s="49"/>
      <c r="G467" s="31"/>
    </row>
    <row r="468" spans="6:7" ht="12.75">
      <c r="F468" s="49"/>
      <c r="G468" s="31"/>
    </row>
    <row r="469" spans="6:7" ht="12.75">
      <c r="F469" s="49"/>
      <c r="G469" s="31"/>
    </row>
    <row r="470" spans="6:7" ht="12.75">
      <c r="F470" s="49"/>
      <c r="G470" s="31"/>
    </row>
    <row r="471" spans="6:7" ht="12.75">
      <c r="F471" s="49"/>
      <c r="G471" s="31"/>
    </row>
    <row r="472" spans="6:7" ht="12.75">
      <c r="F472" s="49"/>
      <c r="G472" s="31"/>
    </row>
    <row r="473" spans="6:7" ht="12.75">
      <c r="F473" s="49"/>
      <c r="G473" s="31"/>
    </row>
    <row r="474" spans="6:7" ht="12.75">
      <c r="F474" s="49"/>
      <c r="G474" s="31"/>
    </row>
    <row r="475" spans="6:7" ht="12.75">
      <c r="F475" s="49"/>
      <c r="G475" s="31"/>
    </row>
    <row r="476" spans="6:7" ht="12.75">
      <c r="F476" s="49"/>
      <c r="G476" s="31"/>
    </row>
    <row r="477" spans="6:7" ht="12.75">
      <c r="F477" s="49"/>
      <c r="G477" s="31"/>
    </row>
    <row r="478" spans="6:7" ht="12.75">
      <c r="F478" s="49"/>
      <c r="G478" s="31"/>
    </row>
    <row r="479" spans="6:7" ht="12.75">
      <c r="F479" s="49"/>
      <c r="G479" s="31"/>
    </row>
    <row r="480" spans="6:7" ht="12.75">
      <c r="F480" s="49"/>
      <c r="G480" s="31"/>
    </row>
    <row r="481" spans="6:7" ht="12.75">
      <c r="F481" s="49"/>
      <c r="G481" s="31"/>
    </row>
    <row r="482" spans="6:7" ht="12.75">
      <c r="F482" s="49"/>
      <c r="G482" s="31"/>
    </row>
    <row r="483" spans="6:7" ht="12.75">
      <c r="F483" s="49"/>
      <c r="G483" s="31"/>
    </row>
    <row r="484" spans="6:7" ht="12.75">
      <c r="F484" s="49"/>
      <c r="G484" s="31"/>
    </row>
    <row r="485" spans="6:7" ht="12.75">
      <c r="F485" s="49"/>
      <c r="G485" s="31"/>
    </row>
    <row r="486" spans="6:7" ht="12.75">
      <c r="F486" s="49"/>
      <c r="G486" s="31"/>
    </row>
    <row r="487" spans="6:7" ht="12.75">
      <c r="F487" s="49"/>
      <c r="G487" s="31"/>
    </row>
    <row r="488" spans="6:7" ht="12.75">
      <c r="F488" s="49"/>
      <c r="G488" s="31"/>
    </row>
    <row r="489" spans="6:7" ht="12.75">
      <c r="F489" s="49"/>
      <c r="G489" s="31"/>
    </row>
    <row r="490" spans="6:7" ht="12.75">
      <c r="F490" s="49"/>
      <c r="G490" s="31"/>
    </row>
    <row r="491" spans="6:7" ht="12.75">
      <c r="F491" s="49"/>
      <c r="G491" s="31"/>
    </row>
    <row r="492" spans="6:7" ht="12.75">
      <c r="F492" s="49"/>
      <c r="G492" s="31"/>
    </row>
    <row r="493" spans="6:7" ht="12.75">
      <c r="F493" s="49"/>
      <c r="G493" s="31"/>
    </row>
    <row r="494" spans="6:7" ht="12.75">
      <c r="F494" s="49"/>
      <c r="G494" s="31"/>
    </row>
    <row r="495" spans="6:7" ht="12.75">
      <c r="F495" s="49"/>
      <c r="G495" s="31"/>
    </row>
    <row r="496" spans="6:7" ht="12.75">
      <c r="F496" s="49"/>
      <c r="G496" s="31"/>
    </row>
    <row r="497" spans="6:7" ht="12.75">
      <c r="F497" s="49"/>
      <c r="G497" s="31"/>
    </row>
    <row r="498" spans="6:7" ht="12.75">
      <c r="F498" s="49"/>
      <c r="G498" s="31"/>
    </row>
    <row r="499" spans="6:7" ht="12.75">
      <c r="F499" s="49"/>
      <c r="G499" s="31"/>
    </row>
    <row r="500" spans="6:7" ht="12.75">
      <c r="F500" s="49"/>
      <c r="G500" s="31"/>
    </row>
    <row r="501" spans="6:7" ht="12.75">
      <c r="F501" s="49"/>
      <c r="G501" s="31"/>
    </row>
    <row r="502" spans="6:7" ht="12.75">
      <c r="F502" s="49"/>
      <c r="G502" s="31"/>
    </row>
    <row r="503" spans="6:7" ht="12.75">
      <c r="F503" s="49"/>
      <c r="G503" s="31"/>
    </row>
    <row r="504" spans="6:7" ht="12.75">
      <c r="F504" s="49"/>
      <c r="G504" s="31"/>
    </row>
    <row r="505" spans="6:7" ht="12.75">
      <c r="F505" s="49"/>
      <c r="G505" s="31"/>
    </row>
    <row r="506" spans="6:7" ht="12.75">
      <c r="F506" s="49"/>
      <c r="G506" s="31"/>
    </row>
    <row r="507" spans="6:7" ht="12.75">
      <c r="F507" s="49"/>
      <c r="G507" s="31"/>
    </row>
    <row r="508" spans="6:7" ht="12.75">
      <c r="F508" s="49"/>
      <c r="G508" s="31"/>
    </row>
    <row r="509" spans="6:7" ht="12.75">
      <c r="F509" s="49"/>
      <c r="G509" s="31"/>
    </row>
    <row r="510" spans="6:7" ht="12.75">
      <c r="F510" s="49"/>
      <c r="G510" s="31"/>
    </row>
    <row r="511" spans="6:7" ht="12.75">
      <c r="F511" s="49"/>
      <c r="G511" s="31"/>
    </row>
    <row r="512" spans="6:7" ht="12.75">
      <c r="F512" s="49"/>
      <c r="G512" s="31"/>
    </row>
    <row r="513" spans="6:7" ht="12.75">
      <c r="F513" s="49"/>
      <c r="G513" s="31"/>
    </row>
    <row r="514" spans="6:7" ht="12.75">
      <c r="F514" s="49"/>
      <c r="G514" s="31"/>
    </row>
    <row r="515" spans="6:7" ht="12.75">
      <c r="F515" s="49"/>
      <c r="G515" s="31"/>
    </row>
    <row r="516" spans="6:7" ht="12.75">
      <c r="F516" s="49"/>
      <c r="G516" s="31"/>
    </row>
    <row r="517" spans="6:7" ht="12.75">
      <c r="F517" s="49"/>
      <c r="G517" s="31"/>
    </row>
    <row r="518" spans="6:7" ht="12.75">
      <c r="F518" s="49"/>
      <c r="G518" s="31"/>
    </row>
    <row r="519" spans="6:7" ht="12.75">
      <c r="F519" s="49"/>
      <c r="G519" s="31"/>
    </row>
    <row r="520" spans="6:7" ht="12.75">
      <c r="F520" s="49"/>
      <c r="G520" s="31"/>
    </row>
    <row r="521" spans="6:7" ht="12.75">
      <c r="F521" s="49"/>
      <c r="G521" s="31"/>
    </row>
    <row r="522" spans="6:7" ht="12.75">
      <c r="F522" s="49"/>
      <c r="G522" s="31"/>
    </row>
    <row r="523" spans="6:7" ht="12.75">
      <c r="F523" s="49"/>
      <c r="G523" s="31"/>
    </row>
    <row r="524" spans="6:7" ht="12.75">
      <c r="F524" s="49"/>
      <c r="G524" s="31"/>
    </row>
    <row r="525" spans="6:7" ht="12.75">
      <c r="F525" s="49"/>
      <c r="G525" s="31"/>
    </row>
    <row r="526" spans="6:7" ht="12.75">
      <c r="F526" s="49"/>
      <c r="G526" s="31"/>
    </row>
    <row r="527" spans="6:7" ht="12.75">
      <c r="F527" s="49"/>
      <c r="G527" s="31"/>
    </row>
    <row r="528" spans="6:7" ht="12.75">
      <c r="F528" s="49"/>
      <c r="G528" s="31"/>
    </row>
    <row r="529" spans="6:7" ht="12.75">
      <c r="F529" s="49"/>
      <c r="G529" s="31"/>
    </row>
    <row r="530" spans="6:7" ht="12.75">
      <c r="F530" s="49"/>
      <c r="G530" s="31"/>
    </row>
    <row r="531" spans="6:7" ht="12.75">
      <c r="F531" s="49"/>
      <c r="G531" s="31"/>
    </row>
    <row r="532" spans="6:7" ht="12.75">
      <c r="F532" s="49"/>
      <c r="G532" s="31"/>
    </row>
    <row r="533" spans="6:7" ht="12.75">
      <c r="F533" s="49"/>
      <c r="G533" s="31"/>
    </row>
    <row r="534" spans="6:7" ht="12.75">
      <c r="F534" s="49"/>
      <c r="G534" s="31"/>
    </row>
    <row r="535" spans="6:7" ht="12.75">
      <c r="F535" s="49"/>
      <c r="G535" s="31"/>
    </row>
    <row r="536" spans="6:7" ht="12.75">
      <c r="F536" s="49"/>
      <c r="G536" s="31"/>
    </row>
    <row r="537" spans="6:7" ht="12.75">
      <c r="F537" s="49"/>
      <c r="G537" s="31"/>
    </row>
    <row r="538" spans="6:7" ht="12.75">
      <c r="F538" s="49"/>
      <c r="G538" s="31"/>
    </row>
    <row r="539" spans="6:7" ht="12.75">
      <c r="F539" s="49"/>
      <c r="G539" s="31"/>
    </row>
    <row r="540" spans="6:7" ht="12.75">
      <c r="F540" s="49"/>
      <c r="G540" s="31"/>
    </row>
    <row r="541" spans="6:7" ht="12.75">
      <c r="F541" s="49"/>
      <c r="G541" s="31"/>
    </row>
    <row r="542" spans="6:7" ht="12.75">
      <c r="F542" s="49"/>
      <c r="G542" s="31"/>
    </row>
    <row r="543" spans="6:7" ht="12.75">
      <c r="F543" s="49"/>
      <c r="G543" s="31"/>
    </row>
    <row r="544" spans="6:7" ht="12.75">
      <c r="F544" s="49"/>
      <c r="G544" s="31"/>
    </row>
    <row r="545" spans="6:7" ht="12.75">
      <c r="F545" s="49"/>
      <c r="G545" s="31"/>
    </row>
    <row r="546" spans="6:7" ht="12.75">
      <c r="F546" s="49"/>
      <c r="G546" s="31"/>
    </row>
    <row r="547" spans="6:7" ht="12.75">
      <c r="F547" s="49"/>
      <c r="G547" s="31"/>
    </row>
    <row r="548" spans="6:7" ht="12.75">
      <c r="F548" s="49"/>
      <c r="G548" s="31"/>
    </row>
    <row r="549" spans="6:7" ht="12.75">
      <c r="F549" s="49"/>
      <c r="G549" s="31"/>
    </row>
    <row r="550" spans="6:7" ht="12.75">
      <c r="F550" s="49"/>
      <c r="G550" s="31"/>
    </row>
    <row r="551" spans="6:7" ht="12.75">
      <c r="F551" s="49"/>
      <c r="G551" s="31"/>
    </row>
    <row r="552" spans="6:7" ht="12.75">
      <c r="F552" s="49"/>
      <c r="G552" s="31"/>
    </row>
    <row r="553" spans="6:7" ht="12.75">
      <c r="F553" s="49"/>
      <c r="G553" s="31"/>
    </row>
    <row r="554" spans="6:7" ht="12.75">
      <c r="F554" s="49"/>
      <c r="G554" s="31"/>
    </row>
    <row r="555" spans="6:7" ht="12.75">
      <c r="F555" s="49"/>
      <c r="G555" s="31"/>
    </row>
    <row r="556" spans="6:7" ht="12.75">
      <c r="F556" s="49"/>
      <c r="G556" s="31"/>
    </row>
    <row r="557" spans="6:7" ht="12.75">
      <c r="F557" s="49"/>
      <c r="G557" s="31"/>
    </row>
    <row r="558" spans="6:7" ht="12.75">
      <c r="F558" s="49"/>
      <c r="G558" s="31"/>
    </row>
    <row r="559" spans="6:7" ht="12.75">
      <c r="F559" s="49"/>
      <c r="G559" s="31"/>
    </row>
    <row r="560" spans="6:7" ht="12.75">
      <c r="F560" s="49"/>
      <c r="G560" s="31"/>
    </row>
    <row r="561" spans="6:7" ht="12.75">
      <c r="F561" s="49"/>
      <c r="G561" s="31"/>
    </row>
    <row r="562" spans="6:7" ht="12.75">
      <c r="F562" s="49"/>
      <c r="G562" s="31"/>
    </row>
    <row r="563" spans="6:7" ht="12.75">
      <c r="F563" s="49"/>
      <c r="G563" s="31"/>
    </row>
    <row r="564" spans="6:7" ht="12.75">
      <c r="F564" s="49"/>
      <c r="G564" s="31"/>
    </row>
    <row r="565" spans="6:7" ht="12.75">
      <c r="F565" s="49"/>
      <c r="G565" s="31"/>
    </row>
    <row r="566" spans="6:7" ht="12.75">
      <c r="F566" s="49"/>
      <c r="G566" s="31"/>
    </row>
    <row r="567" spans="6:7" ht="12.75">
      <c r="F567" s="49"/>
      <c r="G567" s="31"/>
    </row>
    <row r="568" spans="6:7" ht="12.75">
      <c r="F568" s="49"/>
      <c r="G568" s="31"/>
    </row>
    <row r="569" spans="6:7" ht="12.75">
      <c r="F569" s="49"/>
      <c r="G569" s="31"/>
    </row>
    <row r="570" spans="6:7" ht="12.75">
      <c r="F570" s="49"/>
      <c r="G570" s="31"/>
    </row>
    <row r="571" spans="6:7" ht="12.75">
      <c r="F571" s="49"/>
      <c r="G571" s="31"/>
    </row>
    <row r="572" spans="6:7" ht="12.75">
      <c r="F572" s="49"/>
      <c r="G572" s="31"/>
    </row>
    <row r="573" spans="6:7" ht="12.75">
      <c r="F573" s="49"/>
      <c r="G573" s="31"/>
    </row>
    <row r="574" spans="6:7" ht="12.75">
      <c r="F574" s="49"/>
      <c r="G574" s="31"/>
    </row>
    <row r="575" spans="6:7" ht="12.75">
      <c r="F575" s="49"/>
      <c r="G575" s="31"/>
    </row>
    <row r="576" spans="6:7" ht="12.75">
      <c r="F576" s="49"/>
      <c r="G576" s="31"/>
    </row>
    <row r="577" spans="6:7" ht="12.75">
      <c r="F577" s="49"/>
      <c r="G577" s="31"/>
    </row>
    <row r="578" spans="6:7" ht="12.75">
      <c r="F578" s="49"/>
      <c r="G578" s="31"/>
    </row>
    <row r="579" spans="6:7" ht="12.75">
      <c r="F579" s="49"/>
      <c r="G579" s="31"/>
    </row>
    <row r="580" spans="6:7" ht="12.75">
      <c r="F580" s="49"/>
      <c r="G580" s="31"/>
    </row>
    <row r="581" spans="6:7" ht="12.75">
      <c r="F581" s="49"/>
      <c r="G581" s="31"/>
    </row>
    <row r="582" spans="6:7" ht="12.75">
      <c r="F582" s="49"/>
      <c r="G582" s="31"/>
    </row>
    <row r="583" spans="6:7" ht="12.75">
      <c r="F583" s="49"/>
      <c r="G583" s="31"/>
    </row>
    <row r="584" spans="6:7" ht="12.75">
      <c r="F584" s="49"/>
      <c r="G584" s="31"/>
    </row>
    <row r="585" spans="6:7" ht="12.75">
      <c r="F585" s="49"/>
      <c r="G585" s="31"/>
    </row>
    <row r="586" spans="6:7" ht="12.75">
      <c r="F586" s="49"/>
      <c r="G586" s="31"/>
    </row>
    <row r="587" spans="6:7" ht="12.75">
      <c r="F587" s="49"/>
      <c r="G587" s="31"/>
    </row>
    <row r="588" spans="6:7" ht="12.75">
      <c r="F588" s="49"/>
      <c r="G588" s="31"/>
    </row>
    <row r="589" spans="6:7" ht="12.75">
      <c r="F589" s="49"/>
      <c r="G589" s="31"/>
    </row>
    <row r="590" spans="6:7" ht="12.75">
      <c r="F590" s="49"/>
      <c r="G590" s="31"/>
    </row>
    <row r="591" spans="6:7" ht="12.75">
      <c r="F591" s="49"/>
      <c r="G591" s="31"/>
    </row>
    <row r="592" spans="6:7" ht="12.75">
      <c r="F592" s="49"/>
      <c r="G592" s="31"/>
    </row>
    <row r="593" spans="6:7" ht="12.75">
      <c r="F593" s="49"/>
      <c r="G593" s="31"/>
    </row>
    <row r="594" spans="6:7" ht="12.75">
      <c r="F594" s="49"/>
      <c r="G594" s="31"/>
    </row>
    <row r="595" spans="6:7" ht="12.75">
      <c r="F595" s="49"/>
      <c r="G595" s="31"/>
    </row>
    <row r="596" spans="6:7" ht="12.75">
      <c r="F596" s="49"/>
      <c r="G596" s="31"/>
    </row>
    <row r="597" spans="6:7" ht="12.75">
      <c r="F597" s="49"/>
      <c r="G597" s="31"/>
    </row>
    <row r="598" spans="6:7" ht="12.75">
      <c r="F598" s="49"/>
      <c r="G598" s="31"/>
    </row>
    <row r="599" spans="6:7" ht="12.75">
      <c r="F599" s="49"/>
      <c r="G599" s="31"/>
    </row>
    <row r="600" spans="6:7" ht="12.75">
      <c r="F600" s="49"/>
      <c r="G600" s="31"/>
    </row>
    <row r="601" spans="6:7" ht="12.75">
      <c r="F601" s="49"/>
      <c r="G601" s="31"/>
    </row>
    <row r="602" spans="6:7" ht="12.75">
      <c r="F602" s="49"/>
      <c r="G602" s="31"/>
    </row>
    <row r="603" spans="6:7" ht="12.75">
      <c r="F603" s="49"/>
      <c r="G603" s="31"/>
    </row>
    <row r="604" spans="6:7" ht="12.75">
      <c r="F604" s="49"/>
      <c r="G604" s="31"/>
    </row>
    <row r="605" spans="6:7" ht="12.75">
      <c r="F605" s="49"/>
      <c r="G605" s="31"/>
    </row>
    <row r="606" spans="6:7" ht="12.75">
      <c r="F606" s="49"/>
      <c r="G606" s="31"/>
    </row>
    <row r="607" spans="6:7" ht="12.75">
      <c r="F607" s="49"/>
      <c r="G607" s="31"/>
    </row>
    <row r="608" spans="6:7" ht="12.75">
      <c r="F608" s="49"/>
      <c r="G608" s="31"/>
    </row>
    <row r="609" spans="6:7" ht="12.75">
      <c r="F609" s="49"/>
      <c r="G609" s="31"/>
    </row>
    <row r="610" spans="6:7" ht="12.75">
      <c r="F610" s="49"/>
      <c r="G610" s="31"/>
    </row>
    <row r="611" spans="6:7" ht="12.75">
      <c r="F611" s="49"/>
      <c r="G611" s="31"/>
    </row>
    <row r="612" spans="6:7" ht="12.75">
      <c r="F612" s="49"/>
      <c r="G612" s="31"/>
    </row>
    <row r="613" spans="6:7" ht="12.75">
      <c r="F613" s="49"/>
      <c r="G613" s="31"/>
    </row>
    <row r="614" spans="6:7" ht="12.75">
      <c r="F614" s="49"/>
      <c r="G614" s="31"/>
    </row>
    <row r="615" spans="6:7" ht="12.75">
      <c r="F615" s="49"/>
      <c r="G615" s="31"/>
    </row>
    <row r="616" spans="6:7" ht="12.75">
      <c r="F616" s="49"/>
      <c r="G616" s="31"/>
    </row>
    <row r="617" spans="6:7" ht="12.75">
      <c r="F617" s="49"/>
      <c r="G617" s="31"/>
    </row>
    <row r="618" spans="6:7" ht="12.75">
      <c r="F618" s="49"/>
      <c r="G618" s="31"/>
    </row>
    <row r="619" spans="6:7" ht="12.75">
      <c r="F619" s="49"/>
      <c r="G619" s="31"/>
    </row>
    <row r="620" spans="6:7" ht="12.75">
      <c r="F620" s="49"/>
      <c r="G620" s="31"/>
    </row>
    <row r="621" spans="6:7" ht="12.75">
      <c r="F621" s="49"/>
      <c r="G621" s="31"/>
    </row>
    <row r="622" spans="6:7" ht="12.75">
      <c r="F622" s="49"/>
      <c r="G622" s="31"/>
    </row>
    <row r="623" spans="6:7" ht="12.75">
      <c r="F623" s="49"/>
      <c r="G623" s="31"/>
    </row>
    <row r="624" spans="6:7" ht="12.75">
      <c r="F624" s="49"/>
      <c r="G624" s="31"/>
    </row>
    <row r="625" spans="6:7" ht="12.75">
      <c r="F625" s="49"/>
      <c r="G625" s="31"/>
    </row>
    <row r="626" spans="6:7" ht="12.75">
      <c r="F626" s="49"/>
      <c r="G626" s="31"/>
    </row>
    <row r="627" spans="6:7" ht="12.75">
      <c r="F627" s="49"/>
      <c r="G627" s="31"/>
    </row>
    <row r="628" spans="6:7" ht="12.75">
      <c r="F628" s="49"/>
      <c r="G628" s="31"/>
    </row>
    <row r="629" spans="6:7" ht="12.75">
      <c r="F629" s="49"/>
      <c r="G629" s="31"/>
    </row>
    <row r="630" spans="6:7" ht="12.75">
      <c r="F630" s="49"/>
      <c r="G630" s="31"/>
    </row>
    <row r="631" spans="6:7" ht="12.75">
      <c r="F631" s="49"/>
      <c r="G631" s="31"/>
    </row>
    <row r="632" spans="6:7" ht="12.75">
      <c r="F632" s="49"/>
      <c r="G632" s="31"/>
    </row>
    <row r="633" spans="6:7" ht="12.75">
      <c r="F633" s="49"/>
      <c r="G633" s="31"/>
    </row>
    <row r="634" spans="6:7" ht="12.75">
      <c r="F634" s="49"/>
      <c r="G634" s="31"/>
    </row>
    <row r="635" spans="6:7" ht="12.75">
      <c r="F635" s="49"/>
      <c r="G635" s="31"/>
    </row>
    <row r="636" spans="6:7" ht="12.75">
      <c r="F636" s="49"/>
      <c r="G636" s="31"/>
    </row>
    <row r="637" spans="6:7" ht="12.75">
      <c r="F637" s="49"/>
      <c r="G637" s="31"/>
    </row>
    <row r="638" spans="6:7" ht="12.75">
      <c r="F638" s="49"/>
      <c r="G638" s="31"/>
    </row>
    <row r="639" spans="6:7" ht="12.75">
      <c r="F639" s="49"/>
      <c r="G639" s="31"/>
    </row>
    <row r="640" spans="6:7" ht="12.75">
      <c r="F640" s="49"/>
      <c r="G640" s="31"/>
    </row>
    <row r="641" spans="6:7" ht="12.75">
      <c r="F641" s="49"/>
      <c r="G641" s="31"/>
    </row>
    <row r="642" spans="6:7" ht="12.75">
      <c r="F642" s="49"/>
      <c r="G642" s="31"/>
    </row>
  </sheetData>
  <mergeCells count="8">
    <mergeCell ref="A160:D160"/>
    <mergeCell ref="A6:G6"/>
    <mergeCell ref="A7:G7"/>
    <mergeCell ref="C138:C139"/>
    <mergeCell ref="D138:D139"/>
    <mergeCell ref="E138:E139"/>
    <mergeCell ref="F138:F139"/>
    <mergeCell ref="G138:G139"/>
  </mergeCells>
  <printOptions/>
  <pageMargins left="0.75" right="0.32" top="0.3" bottom="0.4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M80"/>
  <sheetViews>
    <sheetView workbookViewId="0" topLeftCell="A1">
      <selection activeCell="P19" sqref="P19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57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95"/>
      <c r="F1" s="95"/>
      <c r="M1" s="96" t="s">
        <v>421</v>
      </c>
    </row>
    <row r="2" spans="5:13" ht="13.5" customHeight="1">
      <c r="E2" s="97"/>
      <c r="F2" s="97"/>
      <c r="M2" s="47" t="s">
        <v>582</v>
      </c>
    </row>
    <row r="3" spans="5:13" ht="15.75" customHeight="1">
      <c r="E3" s="97"/>
      <c r="F3" s="97"/>
      <c r="M3" s="47" t="s">
        <v>337</v>
      </c>
    </row>
    <row r="4" ht="3" customHeight="1"/>
    <row r="5" spans="1:12" s="98" customFormat="1" ht="16.5">
      <c r="A5" s="803" t="s">
        <v>425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2" s="98" customFormat="1" ht="15" customHeight="1">
      <c r="A6" s="803" t="s">
        <v>3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ht="5.25" customHeight="1"/>
    <row r="8" spans="1:13" s="93" customFormat="1" ht="11.25" customHeight="1">
      <c r="A8" s="802" t="s">
        <v>359</v>
      </c>
      <c r="B8" s="802"/>
      <c r="C8" s="802"/>
      <c r="D8" s="809" t="s">
        <v>130</v>
      </c>
      <c r="E8" s="810"/>
      <c r="F8" s="815" t="s">
        <v>422</v>
      </c>
      <c r="G8" s="815" t="s">
        <v>116</v>
      </c>
      <c r="H8" s="775" t="s">
        <v>389</v>
      </c>
      <c r="I8" s="776"/>
      <c r="J8" s="776"/>
      <c r="K8" s="776"/>
      <c r="L8" s="776"/>
      <c r="M8" s="777"/>
    </row>
    <row r="9" spans="1:13" s="93" customFormat="1" ht="11.25" customHeight="1">
      <c r="A9" s="800" t="s">
        <v>207</v>
      </c>
      <c r="B9" s="800" t="s">
        <v>208</v>
      </c>
      <c r="C9" s="800" t="s">
        <v>304</v>
      </c>
      <c r="D9" s="811"/>
      <c r="E9" s="812"/>
      <c r="F9" s="816"/>
      <c r="G9" s="816"/>
      <c r="H9" s="805" t="s">
        <v>129</v>
      </c>
      <c r="I9" s="805" t="s">
        <v>392</v>
      </c>
      <c r="J9" s="805"/>
      <c r="K9" s="805"/>
      <c r="L9" s="805" t="s">
        <v>193</v>
      </c>
      <c r="M9" s="92" t="s">
        <v>449</v>
      </c>
    </row>
    <row r="10" spans="1:13" s="93" customFormat="1" ht="24.75" customHeight="1">
      <c r="A10" s="801"/>
      <c r="B10" s="801"/>
      <c r="C10" s="801"/>
      <c r="D10" s="813"/>
      <c r="E10" s="814"/>
      <c r="F10" s="817"/>
      <c r="G10" s="817"/>
      <c r="H10" s="805"/>
      <c r="I10" s="91" t="s">
        <v>424</v>
      </c>
      <c r="J10" s="91" t="s">
        <v>423</v>
      </c>
      <c r="K10" s="91" t="s">
        <v>115</v>
      </c>
      <c r="L10" s="805"/>
      <c r="M10" s="528" t="s">
        <v>115</v>
      </c>
    </row>
    <row r="11" spans="1:13" s="93" customFormat="1" ht="14.25" customHeight="1">
      <c r="A11" s="92">
        <v>1</v>
      </c>
      <c r="B11" s="92">
        <v>2</v>
      </c>
      <c r="C11" s="92">
        <v>3</v>
      </c>
      <c r="D11" s="802">
        <v>4</v>
      </c>
      <c r="E11" s="806"/>
      <c r="F11" s="94">
        <v>5</v>
      </c>
      <c r="G11" s="94">
        <v>6</v>
      </c>
      <c r="H11" s="94">
        <v>7</v>
      </c>
      <c r="I11" s="94">
        <v>8</v>
      </c>
      <c r="J11" s="94">
        <v>9</v>
      </c>
      <c r="K11" s="94">
        <v>10</v>
      </c>
      <c r="L11" s="94">
        <v>11</v>
      </c>
      <c r="M11" s="94">
        <v>12</v>
      </c>
    </row>
    <row r="12" spans="1:13" s="54" customFormat="1" ht="21" customHeight="1">
      <c r="A12" s="792">
        <v>600</v>
      </c>
      <c r="B12" s="792">
        <v>60014</v>
      </c>
      <c r="C12" s="662">
        <v>2310</v>
      </c>
      <c r="D12" s="795" t="s">
        <v>117</v>
      </c>
      <c r="E12" s="796"/>
      <c r="F12" s="409" t="s">
        <v>289</v>
      </c>
      <c r="G12" s="410">
        <v>149000</v>
      </c>
      <c r="H12" s="99">
        <v>149000</v>
      </c>
      <c r="I12" s="100">
        <v>0</v>
      </c>
      <c r="J12" s="101">
        <v>0</v>
      </c>
      <c r="K12" s="101">
        <v>149000</v>
      </c>
      <c r="L12" s="101">
        <v>0</v>
      </c>
      <c r="M12" s="539">
        <v>0</v>
      </c>
    </row>
    <row r="13" spans="1:13" s="54" customFormat="1" ht="12.75" customHeight="1">
      <c r="A13" s="793"/>
      <c r="B13" s="793"/>
      <c r="C13" s="804"/>
      <c r="D13" s="807" t="s">
        <v>120</v>
      </c>
      <c r="E13" s="808"/>
      <c r="F13" s="411"/>
      <c r="G13" s="411"/>
      <c r="H13" s="162"/>
      <c r="I13" s="163"/>
      <c r="J13" s="164"/>
      <c r="K13" s="164"/>
      <c r="L13" s="164"/>
      <c r="M13" s="540"/>
    </row>
    <row r="14" spans="1:13" s="54" customFormat="1" ht="12.75" customHeight="1">
      <c r="A14" s="793"/>
      <c r="B14" s="793"/>
      <c r="C14" s="804"/>
      <c r="D14" s="807" t="s">
        <v>448</v>
      </c>
      <c r="E14" s="808"/>
      <c r="F14" s="411"/>
      <c r="G14" s="411"/>
      <c r="H14" s="162"/>
      <c r="I14" s="163"/>
      <c r="J14" s="164"/>
      <c r="K14" s="164"/>
      <c r="L14" s="164"/>
      <c r="M14" s="540"/>
    </row>
    <row r="15" spans="1:13" s="54" customFormat="1" ht="12.75" customHeight="1">
      <c r="A15" s="793"/>
      <c r="B15" s="793"/>
      <c r="C15" s="804"/>
      <c r="D15" s="807" t="s">
        <v>119</v>
      </c>
      <c r="E15" s="808"/>
      <c r="F15" s="411"/>
      <c r="G15" s="411"/>
      <c r="H15" s="162"/>
      <c r="I15" s="163"/>
      <c r="J15" s="164"/>
      <c r="K15" s="164"/>
      <c r="L15" s="164"/>
      <c r="M15" s="540"/>
    </row>
    <row r="16" spans="1:13" s="54" customFormat="1" ht="12.75" customHeight="1">
      <c r="A16" s="793"/>
      <c r="B16" s="793"/>
      <c r="C16" s="804"/>
      <c r="D16" s="807" t="s">
        <v>118</v>
      </c>
      <c r="E16" s="808"/>
      <c r="F16" s="411"/>
      <c r="G16" s="411"/>
      <c r="H16" s="162"/>
      <c r="I16" s="163"/>
      <c r="J16" s="164"/>
      <c r="K16" s="164"/>
      <c r="L16" s="164"/>
      <c r="M16" s="540"/>
    </row>
    <row r="17" spans="1:13" s="54" customFormat="1" ht="10.5" customHeight="1">
      <c r="A17" s="793"/>
      <c r="B17" s="793"/>
      <c r="C17" s="804"/>
      <c r="D17" s="807" t="s">
        <v>4</v>
      </c>
      <c r="E17" s="808"/>
      <c r="F17" s="412"/>
      <c r="G17" s="412"/>
      <c r="H17" s="165"/>
      <c r="I17" s="166"/>
      <c r="J17" s="167"/>
      <c r="K17" s="167"/>
      <c r="L17" s="167"/>
      <c r="M17" s="541"/>
    </row>
    <row r="18" spans="1:13" s="86" customFormat="1" ht="33" customHeight="1">
      <c r="A18" s="318">
        <v>600</v>
      </c>
      <c r="B18" s="154">
        <v>60014</v>
      </c>
      <c r="C18" s="458">
        <v>2710</v>
      </c>
      <c r="D18" s="771" t="s">
        <v>55</v>
      </c>
      <c r="E18" s="772"/>
      <c r="F18" s="413">
        <f>1028762+13419</f>
        <v>1042181</v>
      </c>
      <c r="G18" s="413" t="s">
        <v>289</v>
      </c>
      <c r="H18" s="413" t="s">
        <v>289</v>
      </c>
      <c r="I18" s="413" t="s">
        <v>289</v>
      </c>
      <c r="J18" s="413" t="s">
        <v>289</v>
      </c>
      <c r="K18" s="413" t="s">
        <v>289</v>
      </c>
      <c r="L18" s="413" t="s">
        <v>289</v>
      </c>
      <c r="M18" s="413" t="s">
        <v>289</v>
      </c>
    </row>
    <row r="19" spans="1:13" s="86" customFormat="1" ht="12.75">
      <c r="A19" s="407"/>
      <c r="B19" s="444"/>
      <c r="C19" s="459"/>
      <c r="D19" s="445" t="s">
        <v>215</v>
      </c>
      <c r="E19" s="455" t="s">
        <v>36</v>
      </c>
      <c r="F19" s="783"/>
      <c r="G19" s="783"/>
      <c r="H19" s="778"/>
      <c r="I19" s="778"/>
      <c r="J19" s="778"/>
      <c r="K19" s="778"/>
      <c r="L19" s="778"/>
      <c r="M19" s="542"/>
    </row>
    <row r="20" spans="1:13" s="86" customFormat="1" ht="12.75">
      <c r="A20" s="407"/>
      <c r="B20" s="444"/>
      <c r="C20" s="459"/>
      <c r="D20" s="445" t="s">
        <v>216</v>
      </c>
      <c r="E20" s="455" t="s">
        <v>57</v>
      </c>
      <c r="F20" s="785"/>
      <c r="G20" s="785"/>
      <c r="H20" s="780"/>
      <c r="I20" s="780"/>
      <c r="J20" s="780"/>
      <c r="K20" s="780"/>
      <c r="L20" s="780"/>
      <c r="M20" s="543"/>
    </row>
    <row r="21" spans="1:13" s="86" customFormat="1" ht="12.75">
      <c r="A21" s="407"/>
      <c r="B21" s="444"/>
      <c r="C21" s="258">
        <v>4270</v>
      </c>
      <c r="D21" s="781" t="s">
        <v>564</v>
      </c>
      <c r="E21" s="782"/>
      <c r="F21" s="413">
        <v>0</v>
      </c>
      <c r="G21" s="413">
        <v>1042181</v>
      </c>
      <c r="H21" s="166">
        <v>1042181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</row>
    <row r="22" spans="1:13" s="86" customFormat="1" ht="57.75" customHeight="1">
      <c r="A22" s="318">
        <v>600</v>
      </c>
      <c r="B22" s="154">
        <v>60014</v>
      </c>
      <c r="C22" s="458">
        <v>6300</v>
      </c>
      <c r="D22" s="771" t="s">
        <v>51</v>
      </c>
      <c r="E22" s="772"/>
      <c r="F22" s="413">
        <f>914500+15064</f>
        <v>929564</v>
      </c>
      <c r="G22" s="413" t="s">
        <v>289</v>
      </c>
      <c r="H22" s="413" t="s">
        <v>289</v>
      </c>
      <c r="I22" s="413" t="s">
        <v>289</v>
      </c>
      <c r="J22" s="413" t="s">
        <v>289</v>
      </c>
      <c r="K22" s="413" t="s">
        <v>289</v>
      </c>
      <c r="L22" s="413" t="s">
        <v>289</v>
      </c>
      <c r="M22" s="413" t="s">
        <v>289</v>
      </c>
    </row>
    <row r="23" spans="1:13" s="86" customFormat="1" ht="12" customHeight="1">
      <c r="A23" s="407"/>
      <c r="B23" s="444"/>
      <c r="C23" s="459"/>
      <c r="D23" s="457" t="s">
        <v>215</v>
      </c>
      <c r="E23" s="445" t="s">
        <v>49</v>
      </c>
      <c r="F23" s="783"/>
      <c r="G23" s="783"/>
      <c r="H23" s="778"/>
      <c r="I23" s="778"/>
      <c r="J23" s="778"/>
      <c r="K23" s="778"/>
      <c r="L23" s="778"/>
      <c r="M23" s="542"/>
    </row>
    <row r="24" spans="1:13" s="86" customFormat="1" ht="12.75" customHeight="1">
      <c r="A24" s="407"/>
      <c r="B24" s="444"/>
      <c r="C24" s="459"/>
      <c r="D24" s="457" t="s">
        <v>216</v>
      </c>
      <c r="E24" s="445" t="s">
        <v>50</v>
      </c>
      <c r="F24" s="784"/>
      <c r="G24" s="784"/>
      <c r="H24" s="779"/>
      <c r="I24" s="779"/>
      <c r="J24" s="779"/>
      <c r="K24" s="779"/>
      <c r="L24" s="779"/>
      <c r="M24" s="544"/>
    </row>
    <row r="25" spans="1:13" s="86" customFormat="1" ht="12.75" customHeight="1">
      <c r="A25" s="407"/>
      <c r="B25" s="444"/>
      <c r="C25" s="459"/>
      <c r="D25" s="457" t="s">
        <v>217</v>
      </c>
      <c r="E25" s="445" t="s">
        <v>144</v>
      </c>
      <c r="F25" s="785"/>
      <c r="G25" s="785"/>
      <c r="H25" s="780"/>
      <c r="I25" s="780"/>
      <c r="J25" s="780"/>
      <c r="K25" s="780"/>
      <c r="L25" s="780"/>
      <c r="M25" s="543"/>
    </row>
    <row r="26" spans="1:13" s="86" customFormat="1" ht="21.75" customHeight="1">
      <c r="A26" s="407"/>
      <c r="B26" s="444"/>
      <c r="C26" s="258">
        <v>6050</v>
      </c>
      <c r="D26" s="781" t="s">
        <v>565</v>
      </c>
      <c r="E26" s="782"/>
      <c r="F26" s="413" t="s">
        <v>289</v>
      </c>
      <c r="G26" s="413">
        <v>929564</v>
      </c>
      <c r="H26" s="166">
        <v>0</v>
      </c>
      <c r="I26" s="166">
        <v>0</v>
      </c>
      <c r="J26" s="166">
        <v>0</v>
      </c>
      <c r="K26" s="166">
        <v>0</v>
      </c>
      <c r="L26" s="166">
        <v>929564</v>
      </c>
      <c r="M26" s="168">
        <v>0</v>
      </c>
    </row>
    <row r="27" spans="1:13" s="86" customFormat="1" ht="47.25" customHeight="1">
      <c r="A27" s="529">
        <v>600</v>
      </c>
      <c r="B27" s="161">
        <v>60014</v>
      </c>
      <c r="C27" s="423">
        <v>6309</v>
      </c>
      <c r="D27" s="771" t="s">
        <v>56</v>
      </c>
      <c r="E27" s="772"/>
      <c r="F27" s="239">
        <v>3323210</v>
      </c>
      <c r="G27" s="239" t="s">
        <v>289</v>
      </c>
      <c r="H27" s="168" t="s">
        <v>289</v>
      </c>
      <c r="I27" s="168" t="s">
        <v>289</v>
      </c>
      <c r="J27" s="168" t="s">
        <v>289</v>
      </c>
      <c r="K27" s="168" t="s">
        <v>289</v>
      </c>
      <c r="L27" s="168" t="s">
        <v>289</v>
      </c>
      <c r="M27" s="168" t="s">
        <v>289</v>
      </c>
    </row>
    <row r="28" spans="1:13" s="86" customFormat="1" ht="33.75">
      <c r="A28" s="318">
        <v>600</v>
      </c>
      <c r="B28" s="154">
        <v>60014</v>
      </c>
      <c r="C28" s="458">
        <v>6309</v>
      </c>
      <c r="D28" s="445">
        <v>1</v>
      </c>
      <c r="E28" s="530" t="s">
        <v>52</v>
      </c>
      <c r="F28" s="410"/>
      <c r="G28" s="410"/>
      <c r="H28" s="99"/>
      <c r="I28" s="100"/>
      <c r="J28" s="101"/>
      <c r="K28" s="101"/>
      <c r="L28" s="101"/>
      <c r="M28" s="542"/>
    </row>
    <row r="29" spans="1:13" s="86" customFormat="1" ht="45" customHeight="1">
      <c r="A29" s="318"/>
      <c r="B29" s="154"/>
      <c r="C29" s="458"/>
      <c r="D29" s="445">
        <v>2</v>
      </c>
      <c r="E29" s="530" t="s">
        <v>53</v>
      </c>
      <c r="F29" s="414"/>
      <c r="G29" s="414"/>
      <c r="H29" s="162"/>
      <c r="I29" s="163"/>
      <c r="J29" s="164"/>
      <c r="K29" s="164"/>
      <c r="L29" s="164"/>
      <c r="M29" s="544"/>
    </row>
    <row r="30" spans="1:13" s="86" customFormat="1" ht="45">
      <c r="A30" s="407"/>
      <c r="B30" s="444"/>
      <c r="C30" s="459"/>
      <c r="D30" s="445">
        <v>3</v>
      </c>
      <c r="E30" s="530" t="s">
        <v>54</v>
      </c>
      <c r="F30" s="468"/>
      <c r="G30" s="468"/>
      <c r="H30" s="165"/>
      <c r="I30" s="166"/>
      <c r="J30" s="167"/>
      <c r="K30" s="167"/>
      <c r="L30" s="167"/>
      <c r="M30" s="543"/>
    </row>
    <row r="31" spans="1:13" s="86" customFormat="1" ht="24.75" customHeight="1">
      <c r="A31" s="408"/>
      <c r="B31" s="155"/>
      <c r="C31" s="258">
        <v>6059</v>
      </c>
      <c r="D31" s="781" t="s">
        <v>565</v>
      </c>
      <c r="E31" s="782"/>
      <c r="F31" s="413" t="s">
        <v>289</v>
      </c>
      <c r="G31" s="413">
        <v>3323210</v>
      </c>
      <c r="H31" s="166">
        <v>0</v>
      </c>
      <c r="I31" s="166">
        <v>0</v>
      </c>
      <c r="J31" s="166">
        <v>0</v>
      </c>
      <c r="K31" s="166">
        <v>0</v>
      </c>
      <c r="L31" s="166">
        <v>3323210</v>
      </c>
      <c r="M31" s="166">
        <v>0</v>
      </c>
    </row>
    <row r="32" spans="1:13" s="86" customFormat="1" ht="24" customHeight="1">
      <c r="A32" s="407">
        <v>630</v>
      </c>
      <c r="B32" s="444">
        <v>63003</v>
      </c>
      <c r="C32" s="459">
        <v>6619</v>
      </c>
      <c r="D32" s="799" t="s">
        <v>10</v>
      </c>
      <c r="E32" s="819"/>
      <c r="F32" s="431">
        <v>70000</v>
      </c>
      <c r="G32" s="431" t="s">
        <v>289</v>
      </c>
      <c r="H32" s="431" t="s">
        <v>289</v>
      </c>
      <c r="I32" s="431" t="s">
        <v>289</v>
      </c>
      <c r="J32" s="431" t="s">
        <v>289</v>
      </c>
      <c r="K32" s="431" t="s">
        <v>289</v>
      </c>
      <c r="L32" s="431" t="s">
        <v>289</v>
      </c>
      <c r="M32" s="239" t="s">
        <v>289</v>
      </c>
    </row>
    <row r="33" spans="1:13" s="86" customFormat="1" ht="12.75" customHeight="1">
      <c r="A33" s="407"/>
      <c r="B33" s="444"/>
      <c r="C33" s="459"/>
      <c r="D33" s="460">
        <v>1</v>
      </c>
      <c r="E33" s="252" t="s">
        <v>11</v>
      </c>
      <c r="F33" s="410"/>
      <c r="G33" s="410"/>
      <c r="H33" s="99"/>
      <c r="I33" s="100"/>
      <c r="J33" s="101"/>
      <c r="K33" s="101"/>
      <c r="L33" s="101"/>
      <c r="M33" s="542"/>
    </row>
    <row r="34" spans="1:13" s="86" customFormat="1" ht="12.75" customHeight="1">
      <c r="A34" s="407"/>
      <c r="B34" s="444"/>
      <c r="C34" s="459"/>
      <c r="D34" s="460">
        <v>2</v>
      </c>
      <c r="E34" s="252" t="s">
        <v>12</v>
      </c>
      <c r="F34" s="414"/>
      <c r="G34" s="414"/>
      <c r="H34" s="162"/>
      <c r="I34" s="163"/>
      <c r="J34" s="164"/>
      <c r="K34" s="164"/>
      <c r="L34" s="164"/>
      <c r="M34" s="544"/>
    </row>
    <row r="35" spans="1:13" s="86" customFormat="1" ht="12.75" customHeight="1">
      <c r="A35" s="407"/>
      <c r="B35" s="444"/>
      <c r="C35" s="459"/>
      <c r="D35" s="460">
        <v>3</v>
      </c>
      <c r="E35" s="252" t="s">
        <v>13</v>
      </c>
      <c r="F35" s="468"/>
      <c r="G35" s="468"/>
      <c r="H35" s="165"/>
      <c r="I35" s="166"/>
      <c r="J35" s="167"/>
      <c r="K35" s="167"/>
      <c r="L35" s="167"/>
      <c r="M35" s="543"/>
    </row>
    <row r="36" spans="1:13" s="86" customFormat="1" ht="24.75" customHeight="1">
      <c r="A36" s="401">
        <v>630</v>
      </c>
      <c r="B36" s="156">
        <v>63003</v>
      </c>
      <c r="C36" s="462">
        <v>6639</v>
      </c>
      <c r="D36" s="818" t="s">
        <v>35</v>
      </c>
      <c r="E36" s="818"/>
      <c r="F36" s="414" t="s">
        <v>289</v>
      </c>
      <c r="G36" s="414">
        <v>101270</v>
      </c>
      <c r="H36" s="464">
        <v>0</v>
      </c>
      <c r="I36" s="465">
        <v>0</v>
      </c>
      <c r="J36" s="466">
        <v>0</v>
      </c>
      <c r="K36" s="466">
        <v>0</v>
      </c>
      <c r="L36" s="466">
        <v>101270</v>
      </c>
      <c r="M36" s="461">
        <v>101270</v>
      </c>
    </row>
    <row r="37" spans="1:13" s="86" customFormat="1" ht="21.75" customHeight="1">
      <c r="A37" s="471"/>
      <c r="B37" s="172"/>
      <c r="C37" s="472"/>
      <c r="D37" s="463">
        <v>1</v>
      </c>
      <c r="E37" s="456" t="s">
        <v>34</v>
      </c>
      <c r="F37" s="414"/>
      <c r="G37" s="414"/>
      <c r="H37" s="464"/>
      <c r="I37" s="465"/>
      <c r="J37" s="466"/>
      <c r="K37" s="466"/>
      <c r="L37" s="466"/>
      <c r="M37" s="544"/>
    </row>
    <row r="38" spans="1:13" s="86" customFormat="1" ht="53.25" customHeight="1">
      <c r="A38" s="425"/>
      <c r="B38" s="404"/>
      <c r="C38" s="467"/>
      <c r="D38" s="463">
        <v>2</v>
      </c>
      <c r="E38" s="456" t="s">
        <v>37</v>
      </c>
      <c r="F38" s="468"/>
      <c r="G38" s="468"/>
      <c r="H38" s="469"/>
      <c r="I38" s="420"/>
      <c r="J38" s="470"/>
      <c r="K38" s="470"/>
      <c r="L38" s="470"/>
      <c r="M38" s="543"/>
    </row>
    <row r="39" spans="1:13" s="55" customFormat="1" ht="57" customHeight="1">
      <c r="A39" s="155">
        <v>750</v>
      </c>
      <c r="B39" s="155">
        <v>75018</v>
      </c>
      <c r="C39" s="155">
        <v>2330</v>
      </c>
      <c r="D39" s="795" t="s">
        <v>360</v>
      </c>
      <c r="E39" s="795"/>
      <c r="F39" s="415" t="s">
        <v>289</v>
      </c>
      <c r="G39" s="413">
        <v>6000</v>
      </c>
      <c r="H39" s="166">
        <v>6000</v>
      </c>
      <c r="I39" s="166">
        <v>0</v>
      </c>
      <c r="J39" s="166">
        <v>0</v>
      </c>
      <c r="K39" s="166">
        <v>6000</v>
      </c>
      <c r="L39" s="166">
        <v>0</v>
      </c>
      <c r="M39" s="166">
        <v>0</v>
      </c>
    </row>
    <row r="40" spans="1:13" s="564" customFormat="1" ht="33" customHeight="1">
      <c r="A40" s="318">
        <v>750</v>
      </c>
      <c r="B40" s="154">
        <v>75095</v>
      </c>
      <c r="C40" s="458">
        <v>2710</v>
      </c>
      <c r="D40" s="771" t="s">
        <v>543</v>
      </c>
      <c r="E40" s="772"/>
      <c r="F40" s="239">
        <v>8400</v>
      </c>
      <c r="G40" s="239" t="s">
        <v>289</v>
      </c>
      <c r="H40" s="239" t="s">
        <v>289</v>
      </c>
      <c r="I40" s="239" t="s">
        <v>289</v>
      </c>
      <c r="J40" s="239" t="s">
        <v>289</v>
      </c>
      <c r="K40" s="239" t="s">
        <v>289</v>
      </c>
      <c r="L40" s="239" t="s">
        <v>289</v>
      </c>
      <c r="M40" s="239" t="s">
        <v>289</v>
      </c>
    </row>
    <row r="41" spans="1:13" s="564" customFormat="1" ht="12.75">
      <c r="A41" s="408"/>
      <c r="B41" s="155"/>
      <c r="C41" s="568"/>
      <c r="D41" s="565" t="s">
        <v>215</v>
      </c>
      <c r="E41" s="561" t="s">
        <v>545</v>
      </c>
      <c r="F41" s="394"/>
      <c r="G41" s="394"/>
      <c r="H41" s="569"/>
      <c r="I41" s="569"/>
      <c r="J41" s="569"/>
      <c r="K41" s="569"/>
      <c r="L41" s="569"/>
      <c r="M41" s="572"/>
    </row>
    <row r="42" spans="1:13" s="564" customFormat="1" ht="12.75">
      <c r="A42" s="318">
        <v>750</v>
      </c>
      <c r="B42" s="154">
        <v>75095</v>
      </c>
      <c r="C42" s="458">
        <v>2710</v>
      </c>
      <c r="D42" s="565" t="s">
        <v>216</v>
      </c>
      <c r="E42" s="561" t="s">
        <v>546</v>
      </c>
      <c r="F42" s="560"/>
      <c r="G42" s="560"/>
      <c r="H42" s="558"/>
      <c r="I42" s="558"/>
      <c r="J42" s="558"/>
      <c r="K42" s="558"/>
      <c r="L42" s="558"/>
      <c r="M42" s="566"/>
    </row>
    <row r="43" spans="1:13" s="564" customFormat="1" ht="12.75">
      <c r="A43" s="407"/>
      <c r="B43" s="444"/>
      <c r="C43" s="459"/>
      <c r="D43" s="565" t="s">
        <v>217</v>
      </c>
      <c r="E43" s="561" t="s">
        <v>547</v>
      </c>
      <c r="F43" s="415"/>
      <c r="G43" s="415"/>
      <c r="H43" s="559"/>
      <c r="I43" s="559"/>
      <c r="J43" s="559"/>
      <c r="K43" s="559"/>
      <c r="L43" s="559"/>
      <c r="M43" s="567"/>
    </row>
    <row r="44" spans="1:13" s="564" customFormat="1" ht="34.5" customHeight="1">
      <c r="A44" s="407"/>
      <c r="B44" s="444"/>
      <c r="C44" s="156">
        <v>2820</v>
      </c>
      <c r="D44" s="786" t="s">
        <v>544</v>
      </c>
      <c r="E44" s="787"/>
      <c r="F44" s="413">
        <v>0</v>
      </c>
      <c r="G44" s="413">
        <v>8400</v>
      </c>
      <c r="H44" s="166">
        <v>8400</v>
      </c>
      <c r="I44" s="166">
        <v>0</v>
      </c>
      <c r="J44" s="166">
        <v>0</v>
      </c>
      <c r="K44" s="166">
        <v>8400</v>
      </c>
      <c r="L44" s="166">
        <v>0</v>
      </c>
      <c r="M44" s="166">
        <v>0</v>
      </c>
    </row>
    <row r="45" spans="1:13" s="564" customFormat="1" ht="35.25" customHeight="1">
      <c r="A45" s="318">
        <v>754</v>
      </c>
      <c r="B45" s="318">
        <v>75411</v>
      </c>
      <c r="C45" s="154">
        <v>6300</v>
      </c>
      <c r="D45" s="788" t="s">
        <v>226</v>
      </c>
      <c r="E45" s="789"/>
      <c r="F45" s="414">
        <v>150000</v>
      </c>
      <c r="G45" s="414"/>
      <c r="H45" s="162"/>
      <c r="I45" s="163"/>
      <c r="J45" s="164"/>
      <c r="K45" s="164"/>
      <c r="L45" s="164"/>
      <c r="M45" s="163"/>
    </row>
    <row r="46" spans="1:13" s="564" customFormat="1" ht="16.5" customHeight="1">
      <c r="A46" s="407"/>
      <c r="B46" s="407"/>
      <c r="C46" s="444"/>
      <c r="D46" s="169" t="s">
        <v>215</v>
      </c>
      <c r="E46" s="170" t="s">
        <v>227</v>
      </c>
      <c r="F46" s="414"/>
      <c r="G46" s="414"/>
      <c r="H46" s="162"/>
      <c r="I46" s="163"/>
      <c r="J46" s="164"/>
      <c r="K46" s="164"/>
      <c r="L46" s="164"/>
      <c r="M46" s="163"/>
    </row>
    <row r="47" spans="1:13" s="564" customFormat="1" ht="16.5" customHeight="1">
      <c r="A47" s="408"/>
      <c r="B47" s="408"/>
      <c r="C47" s="155"/>
      <c r="D47" s="169" t="s">
        <v>215</v>
      </c>
      <c r="E47" s="170" t="s">
        <v>161</v>
      </c>
      <c r="F47" s="414"/>
      <c r="G47" s="414"/>
      <c r="H47" s="162"/>
      <c r="I47" s="163"/>
      <c r="J47" s="164"/>
      <c r="K47" s="164"/>
      <c r="L47" s="164"/>
      <c r="M47" s="164"/>
    </row>
    <row r="48" spans="1:13" ht="21.75" customHeight="1">
      <c r="A48" s="155"/>
      <c r="B48" s="155"/>
      <c r="C48" s="155">
        <v>6060</v>
      </c>
      <c r="D48" s="773" t="s">
        <v>530</v>
      </c>
      <c r="E48" s="774"/>
      <c r="F48" s="533"/>
      <c r="G48" s="533">
        <v>150000</v>
      </c>
      <c r="H48" s="531">
        <v>0</v>
      </c>
      <c r="I48" s="168">
        <v>0</v>
      </c>
      <c r="J48" s="532">
        <v>0</v>
      </c>
      <c r="K48" s="168">
        <v>0</v>
      </c>
      <c r="L48" s="532">
        <v>150000</v>
      </c>
      <c r="M48" s="532">
        <v>0</v>
      </c>
    </row>
    <row r="49" spans="1:13" ht="33.75" customHeight="1">
      <c r="A49" s="154">
        <v>852</v>
      </c>
      <c r="B49" s="154">
        <v>85201</v>
      </c>
      <c r="C49" s="154">
        <v>2310</v>
      </c>
      <c r="D49" s="795" t="s">
        <v>121</v>
      </c>
      <c r="E49" s="789"/>
      <c r="F49" s="410">
        <v>31672</v>
      </c>
      <c r="G49" s="410" t="s">
        <v>289</v>
      </c>
      <c r="H49" s="99" t="s">
        <v>289</v>
      </c>
      <c r="I49" s="100" t="s">
        <v>289</v>
      </c>
      <c r="J49" s="101" t="s">
        <v>289</v>
      </c>
      <c r="K49" s="101" t="s">
        <v>289</v>
      </c>
      <c r="L49" s="101" t="s">
        <v>289</v>
      </c>
      <c r="M49" s="100" t="s">
        <v>289</v>
      </c>
    </row>
    <row r="50" spans="1:13" ht="12.75">
      <c r="A50" s="155"/>
      <c r="B50" s="155"/>
      <c r="C50" s="155"/>
      <c r="D50" s="253">
        <v>1</v>
      </c>
      <c r="E50" s="170" t="s">
        <v>18</v>
      </c>
      <c r="F50" s="412"/>
      <c r="G50" s="412"/>
      <c r="H50" s="165"/>
      <c r="I50" s="166"/>
      <c r="J50" s="167"/>
      <c r="K50" s="167"/>
      <c r="L50" s="167"/>
      <c r="M50" s="545"/>
    </row>
    <row r="51" spans="1:13" ht="12.75" customHeight="1">
      <c r="A51" s="161"/>
      <c r="B51" s="161"/>
      <c r="C51" s="161">
        <v>4010</v>
      </c>
      <c r="D51" s="773" t="s">
        <v>566</v>
      </c>
      <c r="E51" s="774"/>
      <c r="F51" s="533" t="s">
        <v>289</v>
      </c>
      <c r="G51" s="533">
        <v>31672</v>
      </c>
      <c r="H51" s="531">
        <v>31672</v>
      </c>
      <c r="I51" s="168">
        <v>31672</v>
      </c>
      <c r="J51" s="532">
        <v>0</v>
      </c>
      <c r="K51" s="168">
        <v>0</v>
      </c>
      <c r="L51" s="532">
        <v>0</v>
      </c>
      <c r="M51" s="532">
        <v>0</v>
      </c>
    </row>
    <row r="52" spans="1:13" ht="34.5" customHeight="1">
      <c r="A52" s="792">
        <v>852</v>
      </c>
      <c r="B52" s="792">
        <v>85201</v>
      </c>
      <c r="C52" s="792">
        <v>2310</v>
      </c>
      <c r="D52" s="798" t="s">
        <v>450</v>
      </c>
      <c r="E52" s="799"/>
      <c r="F52" s="410" t="s">
        <v>289</v>
      </c>
      <c r="G52" s="410">
        <v>9760</v>
      </c>
      <c r="H52" s="99">
        <v>9760</v>
      </c>
      <c r="I52" s="100">
        <v>0</v>
      </c>
      <c r="J52" s="101">
        <v>0</v>
      </c>
      <c r="K52" s="101">
        <v>9760</v>
      </c>
      <c r="L52" s="100">
        <v>0</v>
      </c>
      <c r="M52" s="101">
        <v>0</v>
      </c>
    </row>
    <row r="53" spans="1:13" ht="16.5" customHeight="1">
      <c r="A53" s="794"/>
      <c r="B53" s="794"/>
      <c r="C53" s="794"/>
      <c r="D53" s="254">
        <v>1</v>
      </c>
      <c r="E53" s="255" t="s">
        <v>5</v>
      </c>
      <c r="F53" s="468"/>
      <c r="G53" s="468"/>
      <c r="H53" s="165"/>
      <c r="I53" s="166"/>
      <c r="J53" s="167"/>
      <c r="K53" s="167"/>
      <c r="L53" s="166"/>
      <c r="M53" s="546"/>
    </row>
    <row r="54" spans="1:13" ht="34.5" customHeight="1">
      <c r="A54" s="792">
        <v>852</v>
      </c>
      <c r="B54" s="792">
        <v>85201</v>
      </c>
      <c r="C54" s="792">
        <v>2310</v>
      </c>
      <c r="D54" s="798" t="s">
        <v>451</v>
      </c>
      <c r="E54" s="799"/>
      <c r="F54" s="410" t="s">
        <v>289</v>
      </c>
      <c r="G54" s="410">
        <v>11580</v>
      </c>
      <c r="H54" s="99">
        <v>11580</v>
      </c>
      <c r="I54" s="100">
        <v>0</v>
      </c>
      <c r="J54" s="101">
        <v>0</v>
      </c>
      <c r="K54" s="101">
        <v>11580</v>
      </c>
      <c r="L54" s="100">
        <v>0</v>
      </c>
      <c r="M54" s="101">
        <v>0</v>
      </c>
    </row>
    <row r="55" spans="1:13" ht="13.5" customHeight="1">
      <c r="A55" s="794"/>
      <c r="B55" s="794"/>
      <c r="C55" s="794"/>
      <c r="D55" s="249">
        <v>1</v>
      </c>
      <c r="E55" s="250" t="s">
        <v>81</v>
      </c>
      <c r="F55" s="412"/>
      <c r="G55" s="412"/>
      <c r="H55" s="105"/>
      <c r="I55" s="106"/>
      <c r="J55" s="107"/>
      <c r="K55" s="107"/>
      <c r="L55" s="106"/>
      <c r="M55" s="546"/>
    </row>
    <row r="56" spans="1:13" ht="55.5" customHeight="1">
      <c r="A56" s="161">
        <v>852</v>
      </c>
      <c r="B56" s="161">
        <v>85201</v>
      </c>
      <c r="C56" s="161">
        <v>2320</v>
      </c>
      <c r="D56" s="795" t="s">
        <v>124</v>
      </c>
      <c r="E56" s="797"/>
      <c r="F56" s="415"/>
      <c r="G56" s="413">
        <f>933906-27497</f>
        <v>906409</v>
      </c>
      <c r="H56" s="166">
        <f>933906-27497</f>
        <v>906409</v>
      </c>
      <c r="I56" s="166">
        <v>0</v>
      </c>
      <c r="J56" s="166">
        <v>0</v>
      </c>
      <c r="K56" s="166">
        <f>933906-27497</f>
        <v>906409</v>
      </c>
      <c r="L56" s="166">
        <v>0</v>
      </c>
      <c r="M56" s="166">
        <v>0</v>
      </c>
    </row>
    <row r="57" spans="1:13" ht="35.25" customHeight="1">
      <c r="A57" s="161">
        <v>852</v>
      </c>
      <c r="B57" s="161">
        <v>85204</v>
      </c>
      <c r="C57" s="161">
        <v>2310</v>
      </c>
      <c r="D57" s="795" t="s">
        <v>379</v>
      </c>
      <c r="E57" s="797"/>
      <c r="F57" s="394" t="s">
        <v>289</v>
      </c>
      <c r="G57" s="239">
        <v>10470</v>
      </c>
      <c r="H57" s="168">
        <v>10470</v>
      </c>
      <c r="I57" s="168">
        <v>0</v>
      </c>
      <c r="J57" s="168">
        <v>0</v>
      </c>
      <c r="K57" s="168">
        <v>10470</v>
      </c>
      <c r="L57" s="168">
        <v>0</v>
      </c>
      <c r="M57" s="168">
        <v>0</v>
      </c>
    </row>
    <row r="58" spans="1:13" ht="33" customHeight="1">
      <c r="A58" s="792">
        <v>852</v>
      </c>
      <c r="B58" s="792">
        <v>85204</v>
      </c>
      <c r="C58" s="792">
        <v>2320</v>
      </c>
      <c r="D58" s="798" t="s">
        <v>143</v>
      </c>
      <c r="E58" s="799"/>
      <c r="F58" s="409" t="s">
        <v>289</v>
      </c>
      <c r="G58" s="410">
        <f>73280+27497</f>
        <v>100777</v>
      </c>
      <c r="H58" s="99">
        <f>73280+27497</f>
        <v>100777</v>
      </c>
      <c r="I58" s="100">
        <v>0</v>
      </c>
      <c r="J58" s="101">
        <v>0</v>
      </c>
      <c r="K58" s="101">
        <f>73280+27497</f>
        <v>100777</v>
      </c>
      <c r="L58" s="101">
        <v>0</v>
      </c>
      <c r="M58" s="547">
        <v>0</v>
      </c>
    </row>
    <row r="59" spans="1:13" ht="12" customHeight="1">
      <c r="A59" s="793"/>
      <c r="B59" s="793"/>
      <c r="C59" s="793"/>
      <c r="D59" s="251">
        <v>1</v>
      </c>
      <c r="E59" s="252" t="s">
        <v>6</v>
      </c>
      <c r="F59" s="411"/>
      <c r="G59" s="416"/>
      <c r="H59" s="102"/>
      <c r="I59" s="103"/>
      <c r="J59" s="104"/>
      <c r="K59" s="104"/>
      <c r="L59" s="104"/>
      <c r="M59" s="548"/>
    </row>
    <row r="60" spans="1:13" ht="12" customHeight="1">
      <c r="A60" s="793"/>
      <c r="B60" s="793"/>
      <c r="C60" s="793"/>
      <c r="D60" s="251">
        <v>2</v>
      </c>
      <c r="E60" s="252" t="s">
        <v>9</v>
      </c>
      <c r="F60" s="411"/>
      <c r="G60" s="416"/>
      <c r="H60" s="102"/>
      <c r="I60" s="103"/>
      <c r="J60" s="104"/>
      <c r="K60" s="104"/>
      <c r="L60" s="104"/>
      <c r="M60" s="548"/>
    </row>
    <row r="61" spans="1:13" ht="12" customHeight="1">
      <c r="A61" s="793"/>
      <c r="B61" s="793"/>
      <c r="C61" s="793"/>
      <c r="D61" s="251">
        <v>3</v>
      </c>
      <c r="E61" s="252" t="s">
        <v>8</v>
      </c>
      <c r="F61" s="411"/>
      <c r="G61" s="416"/>
      <c r="H61" s="102"/>
      <c r="I61" s="103"/>
      <c r="J61" s="104"/>
      <c r="K61" s="104"/>
      <c r="L61" s="104"/>
      <c r="M61" s="548"/>
    </row>
    <row r="62" spans="1:13" ht="12" customHeight="1">
      <c r="A62" s="793"/>
      <c r="B62" s="793"/>
      <c r="C62" s="793"/>
      <c r="D62" s="251">
        <v>4</v>
      </c>
      <c r="E62" s="252" t="s">
        <v>452</v>
      </c>
      <c r="F62" s="411"/>
      <c r="G62" s="416"/>
      <c r="H62" s="102"/>
      <c r="I62" s="103"/>
      <c r="J62" s="104"/>
      <c r="K62" s="104"/>
      <c r="L62" s="104"/>
      <c r="M62" s="548"/>
    </row>
    <row r="63" spans="1:13" ht="12" customHeight="1">
      <c r="A63" s="793"/>
      <c r="B63" s="793"/>
      <c r="C63" s="793"/>
      <c r="D63" s="251">
        <v>5</v>
      </c>
      <c r="E63" s="252" t="s">
        <v>22</v>
      </c>
      <c r="F63" s="411"/>
      <c r="G63" s="416"/>
      <c r="H63" s="102"/>
      <c r="I63" s="103"/>
      <c r="J63" s="104"/>
      <c r="K63" s="104"/>
      <c r="L63" s="104"/>
      <c r="M63" s="548"/>
    </row>
    <row r="64" spans="1:13" ht="12" customHeight="1">
      <c r="A64" s="794"/>
      <c r="B64" s="794"/>
      <c r="C64" s="794"/>
      <c r="D64" s="251">
        <v>6</v>
      </c>
      <c r="E64" s="252" t="s">
        <v>7</v>
      </c>
      <c r="F64" s="412"/>
      <c r="G64" s="417"/>
      <c r="H64" s="105"/>
      <c r="I64" s="106"/>
      <c r="J64" s="107"/>
      <c r="K64" s="107"/>
      <c r="L64" s="107"/>
      <c r="M64" s="545"/>
    </row>
    <row r="65" spans="1:13" ht="23.25" customHeight="1">
      <c r="A65" s="792">
        <v>852</v>
      </c>
      <c r="B65" s="792">
        <v>85204</v>
      </c>
      <c r="C65" s="792">
        <v>2310</v>
      </c>
      <c r="D65" s="795" t="s">
        <v>122</v>
      </c>
      <c r="E65" s="796"/>
      <c r="F65" s="410">
        <v>4165</v>
      </c>
      <c r="G65" s="410" t="s">
        <v>289</v>
      </c>
      <c r="H65" s="536" t="s">
        <v>289</v>
      </c>
      <c r="I65" s="537" t="s">
        <v>289</v>
      </c>
      <c r="J65" s="538" t="s">
        <v>289</v>
      </c>
      <c r="K65" s="538" t="s">
        <v>289</v>
      </c>
      <c r="L65" s="538" t="s">
        <v>289</v>
      </c>
      <c r="M65" s="537" t="s">
        <v>289</v>
      </c>
    </row>
    <row r="66" spans="1:13" ht="12.75">
      <c r="A66" s="793"/>
      <c r="B66" s="793"/>
      <c r="C66" s="793"/>
      <c r="D66" s="534">
        <v>1</v>
      </c>
      <c r="E66" s="535" t="s">
        <v>14</v>
      </c>
      <c r="F66" s="411"/>
      <c r="G66" s="411"/>
      <c r="H66" s="162"/>
      <c r="I66" s="163"/>
      <c r="J66" s="164"/>
      <c r="K66" s="164"/>
      <c r="L66" s="164"/>
      <c r="M66" s="545"/>
    </row>
    <row r="67" spans="1:13" ht="12.75">
      <c r="A67" s="155"/>
      <c r="B67" s="155"/>
      <c r="C67" s="161">
        <v>3110</v>
      </c>
      <c r="D67" s="773" t="s">
        <v>567</v>
      </c>
      <c r="E67" s="774"/>
      <c r="F67" s="533" t="s">
        <v>289</v>
      </c>
      <c r="G67" s="533">
        <v>4165</v>
      </c>
      <c r="H67" s="531">
        <v>4165</v>
      </c>
      <c r="I67" s="168">
        <v>0</v>
      </c>
      <c r="J67" s="532">
        <v>0</v>
      </c>
      <c r="K67" s="532">
        <v>0</v>
      </c>
      <c r="L67" s="532">
        <v>0</v>
      </c>
      <c r="M67" s="532">
        <v>0</v>
      </c>
    </row>
    <row r="68" spans="1:13" ht="23.25" customHeight="1">
      <c r="A68" s="792">
        <v>852</v>
      </c>
      <c r="B68" s="792">
        <v>85204</v>
      </c>
      <c r="C68" s="792">
        <v>2320</v>
      </c>
      <c r="D68" s="795" t="s">
        <v>122</v>
      </c>
      <c r="E68" s="796"/>
      <c r="F68" s="410">
        <v>127548</v>
      </c>
      <c r="G68" s="410" t="s">
        <v>289</v>
      </c>
      <c r="H68" s="536" t="s">
        <v>289</v>
      </c>
      <c r="I68" s="537" t="s">
        <v>289</v>
      </c>
      <c r="J68" s="538" t="s">
        <v>289</v>
      </c>
      <c r="K68" s="538" t="s">
        <v>289</v>
      </c>
      <c r="L68" s="538" t="s">
        <v>289</v>
      </c>
      <c r="M68" s="537" t="s">
        <v>289</v>
      </c>
    </row>
    <row r="69" spans="1:13" ht="12" customHeight="1">
      <c r="A69" s="793"/>
      <c r="B69" s="793"/>
      <c r="C69" s="793"/>
      <c r="D69" s="169">
        <v>1</v>
      </c>
      <c r="E69" s="170" t="s">
        <v>123</v>
      </c>
      <c r="F69" s="411"/>
      <c r="G69" s="418"/>
      <c r="H69" s="102"/>
      <c r="I69" s="103"/>
      <c r="J69" s="104"/>
      <c r="K69" s="104"/>
      <c r="L69" s="104"/>
      <c r="M69" s="548"/>
    </row>
    <row r="70" spans="1:13" ht="12" customHeight="1">
      <c r="A70" s="793"/>
      <c r="B70" s="793"/>
      <c r="C70" s="793"/>
      <c r="D70" s="169">
        <v>2</v>
      </c>
      <c r="E70" s="170" t="s">
        <v>15</v>
      </c>
      <c r="F70" s="411"/>
      <c r="G70" s="418"/>
      <c r="H70" s="102"/>
      <c r="I70" s="103"/>
      <c r="J70" s="104"/>
      <c r="K70" s="104"/>
      <c r="L70" s="104"/>
      <c r="M70" s="548"/>
    </row>
    <row r="71" spans="1:13" ht="12" customHeight="1">
      <c r="A71" s="793"/>
      <c r="B71" s="793"/>
      <c r="C71" s="793"/>
      <c r="D71" s="169">
        <v>3</v>
      </c>
      <c r="E71" s="170" t="s">
        <v>17</v>
      </c>
      <c r="F71" s="411"/>
      <c r="G71" s="418"/>
      <c r="H71" s="102"/>
      <c r="I71" s="103"/>
      <c r="J71" s="104"/>
      <c r="K71" s="104"/>
      <c r="L71" s="104"/>
      <c r="M71" s="548"/>
    </row>
    <row r="72" spans="1:13" ht="12" customHeight="1">
      <c r="A72" s="794"/>
      <c r="B72" s="794"/>
      <c r="C72" s="794"/>
      <c r="D72" s="169">
        <v>4</v>
      </c>
      <c r="E72" s="170" t="s">
        <v>16</v>
      </c>
      <c r="F72" s="412"/>
      <c r="G72" s="419"/>
      <c r="H72" s="105"/>
      <c r="I72" s="106"/>
      <c r="J72" s="107"/>
      <c r="K72" s="107"/>
      <c r="L72" s="107"/>
      <c r="M72" s="545"/>
    </row>
    <row r="73" spans="1:13" ht="18" customHeight="1">
      <c r="A73" s="154">
        <v>852</v>
      </c>
      <c r="B73" s="154">
        <v>85204</v>
      </c>
      <c r="C73" s="154">
        <v>3110</v>
      </c>
      <c r="D73" s="773" t="s">
        <v>567</v>
      </c>
      <c r="E73" s="774"/>
      <c r="F73" s="533" t="s">
        <v>289</v>
      </c>
      <c r="G73" s="533">
        <v>127548</v>
      </c>
      <c r="H73" s="531">
        <v>127548</v>
      </c>
      <c r="I73" s="168">
        <v>0</v>
      </c>
      <c r="J73" s="532">
        <v>0</v>
      </c>
      <c r="K73" s="532">
        <v>0</v>
      </c>
      <c r="L73" s="532">
        <v>0</v>
      </c>
      <c r="M73" s="532">
        <v>0</v>
      </c>
    </row>
    <row r="74" spans="1:13" ht="45" customHeight="1">
      <c r="A74" s="318">
        <v>854</v>
      </c>
      <c r="B74" s="318">
        <v>85407</v>
      </c>
      <c r="C74" s="156">
        <v>2710</v>
      </c>
      <c r="D74" s="771" t="s">
        <v>162</v>
      </c>
      <c r="E74" s="772"/>
      <c r="F74" s="239">
        <v>36800</v>
      </c>
      <c r="G74" s="239" t="s">
        <v>289</v>
      </c>
      <c r="H74" s="239" t="s">
        <v>289</v>
      </c>
      <c r="I74" s="239" t="s">
        <v>289</v>
      </c>
      <c r="J74" s="239" t="s">
        <v>289</v>
      </c>
      <c r="K74" s="239" t="s">
        <v>289</v>
      </c>
      <c r="L74" s="239" t="s">
        <v>289</v>
      </c>
      <c r="M74" s="239" t="s">
        <v>289</v>
      </c>
    </row>
    <row r="75" spans="1:13" ht="18" customHeight="1">
      <c r="A75" s="407"/>
      <c r="B75" s="407"/>
      <c r="C75" s="172"/>
      <c r="D75" s="628" t="s">
        <v>215</v>
      </c>
      <c r="E75" s="629" t="s">
        <v>163</v>
      </c>
      <c r="F75" s="394"/>
      <c r="G75" s="394"/>
      <c r="H75" s="569"/>
      <c r="I75" s="569"/>
      <c r="J75" s="569"/>
      <c r="K75" s="569"/>
      <c r="L75" s="569"/>
      <c r="M75" s="572"/>
    </row>
    <row r="76" spans="1:13" ht="14.25" customHeight="1">
      <c r="A76" s="407"/>
      <c r="B76" s="407"/>
      <c r="C76" s="161">
        <v>4210</v>
      </c>
      <c r="D76" s="773" t="s">
        <v>488</v>
      </c>
      <c r="E76" s="774"/>
      <c r="F76" s="468"/>
      <c r="G76" s="468">
        <v>10000</v>
      </c>
      <c r="H76" s="165">
        <v>10000</v>
      </c>
      <c r="I76" s="166"/>
      <c r="J76" s="167"/>
      <c r="K76" s="167"/>
      <c r="L76" s="167"/>
      <c r="M76" s="167"/>
    </row>
    <row r="77" spans="1:13" ht="14.25" customHeight="1">
      <c r="A77" s="407"/>
      <c r="B77" s="407"/>
      <c r="C77" s="161">
        <v>4300</v>
      </c>
      <c r="D77" s="773" t="s">
        <v>456</v>
      </c>
      <c r="E77" s="774"/>
      <c r="F77" s="468"/>
      <c r="G77" s="468">
        <v>23800</v>
      </c>
      <c r="H77" s="165">
        <v>23800</v>
      </c>
      <c r="I77" s="166"/>
      <c r="J77" s="167"/>
      <c r="K77" s="167"/>
      <c r="L77" s="167"/>
      <c r="M77" s="167"/>
    </row>
    <row r="78" spans="1:13" ht="14.25" customHeight="1">
      <c r="A78" s="408"/>
      <c r="B78" s="408"/>
      <c r="C78" s="161">
        <v>4430</v>
      </c>
      <c r="D78" s="773" t="s">
        <v>473</v>
      </c>
      <c r="E78" s="774"/>
      <c r="F78" s="468"/>
      <c r="G78" s="468">
        <v>3000</v>
      </c>
      <c r="H78" s="165">
        <v>3000</v>
      </c>
      <c r="I78" s="166"/>
      <c r="J78" s="167"/>
      <c r="K78" s="167"/>
      <c r="L78" s="167"/>
      <c r="M78" s="167"/>
    </row>
    <row r="79" spans="1:13" ht="42" customHeight="1">
      <c r="A79" s="155">
        <v>921</v>
      </c>
      <c r="B79" s="155">
        <v>92116</v>
      </c>
      <c r="C79" s="155">
        <v>2310</v>
      </c>
      <c r="D79" s="790" t="s">
        <v>361</v>
      </c>
      <c r="E79" s="790"/>
      <c r="F79" s="420" t="s">
        <v>289</v>
      </c>
      <c r="G79" s="421">
        <v>54000</v>
      </c>
      <c r="H79" s="166">
        <v>54000</v>
      </c>
      <c r="I79" s="166">
        <v>0</v>
      </c>
      <c r="J79" s="166">
        <v>0</v>
      </c>
      <c r="K79" s="166">
        <v>54000</v>
      </c>
      <c r="L79" s="166">
        <v>0</v>
      </c>
      <c r="M79" s="166">
        <v>0</v>
      </c>
    </row>
    <row r="80" spans="1:13" ht="15.75">
      <c r="A80" s="791" t="s">
        <v>278</v>
      </c>
      <c r="B80" s="791"/>
      <c r="C80" s="791"/>
      <c r="D80" s="791"/>
      <c r="E80" s="791"/>
      <c r="F80" s="151">
        <f>SUM(F12:F79)</f>
        <v>5723540</v>
      </c>
      <c r="G80" s="151">
        <f>SUM(G12:G79)</f>
        <v>7002806</v>
      </c>
      <c r="H80" s="151">
        <f aca="true" t="shared" si="0" ref="H80:M80">SUM(H12:H79)</f>
        <v>2498762</v>
      </c>
      <c r="I80" s="151">
        <f t="shared" si="0"/>
        <v>31672</v>
      </c>
      <c r="J80" s="151">
        <f t="shared" si="0"/>
        <v>0</v>
      </c>
      <c r="K80" s="151">
        <f t="shared" si="0"/>
        <v>1256396</v>
      </c>
      <c r="L80" s="151">
        <f t="shared" si="0"/>
        <v>4504044</v>
      </c>
      <c r="M80" s="151">
        <f t="shared" si="0"/>
        <v>101270</v>
      </c>
    </row>
  </sheetData>
  <mergeCells count="82">
    <mergeCell ref="D14:E14"/>
    <mergeCell ref="D65:E65"/>
    <mergeCell ref="D15:E15"/>
    <mergeCell ref="D16:E16"/>
    <mergeCell ref="D17:E17"/>
    <mergeCell ref="D39:E39"/>
    <mergeCell ref="D36:E36"/>
    <mergeCell ref="D32:E32"/>
    <mergeCell ref="D22:E22"/>
    <mergeCell ref="D58:E58"/>
    <mergeCell ref="D13:E13"/>
    <mergeCell ref="D8:E10"/>
    <mergeCell ref="F8:F10"/>
    <mergeCell ref="G8:G10"/>
    <mergeCell ref="B9:B10"/>
    <mergeCell ref="H9:H10"/>
    <mergeCell ref="D11:E11"/>
    <mergeCell ref="D12:E12"/>
    <mergeCell ref="C58:C64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D26:E26"/>
    <mergeCell ref="C9:C10"/>
    <mergeCell ref="A65:A66"/>
    <mergeCell ref="B65:B66"/>
    <mergeCell ref="C65:C66"/>
    <mergeCell ref="A52:A53"/>
    <mergeCell ref="B52:B53"/>
    <mergeCell ref="C52:C53"/>
    <mergeCell ref="A58:A64"/>
    <mergeCell ref="B58:B64"/>
    <mergeCell ref="F19:F20"/>
    <mergeCell ref="D18:E18"/>
    <mergeCell ref="A54:A55"/>
    <mergeCell ref="B54:B55"/>
    <mergeCell ref="C54:C55"/>
    <mergeCell ref="D54:E54"/>
    <mergeCell ref="D52:E52"/>
    <mergeCell ref="D27:E27"/>
    <mergeCell ref="D21:E21"/>
    <mergeCell ref="D49:E49"/>
    <mergeCell ref="D45:E45"/>
    <mergeCell ref="L19:L20"/>
    <mergeCell ref="D79:E79"/>
    <mergeCell ref="A80:E80"/>
    <mergeCell ref="A68:A72"/>
    <mergeCell ref="B68:B72"/>
    <mergeCell ref="C68:C72"/>
    <mergeCell ref="D68:E68"/>
    <mergeCell ref="D56:E56"/>
    <mergeCell ref="D57:E57"/>
    <mergeCell ref="D40:E40"/>
    <mergeCell ref="D44:E44"/>
    <mergeCell ref="D67:E67"/>
    <mergeCell ref="K19:K20"/>
    <mergeCell ref="G19:G20"/>
    <mergeCell ref="H19:H20"/>
    <mergeCell ref="H23:H25"/>
    <mergeCell ref="I23:I25"/>
    <mergeCell ref="I19:I20"/>
    <mergeCell ref="J19:J20"/>
    <mergeCell ref="D48:E48"/>
    <mergeCell ref="D73:E73"/>
    <mergeCell ref="H8:M8"/>
    <mergeCell ref="J23:J25"/>
    <mergeCell ref="K23:K25"/>
    <mergeCell ref="L23:L25"/>
    <mergeCell ref="D31:E31"/>
    <mergeCell ref="F23:F25"/>
    <mergeCell ref="G23:G25"/>
    <mergeCell ref="D51:E51"/>
    <mergeCell ref="D74:E74"/>
    <mergeCell ref="D76:E76"/>
    <mergeCell ref="D77:E77"/>
    <mergeCell ref="D78:E78"/>
  </mergeCells>
  <printOptions/>
  <pageMargins left="0.53" right="0.57" top="1.14" bottom="0.67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L31"/>
  <sheetViews>
    <sheetView zoomScale="95" zoomScaleNormal="95" workbookViewId="0" topLeftCell="A1">
      <selection activeCell="O14" sqref="O14"/>
    </sheetView>
  </sheetViews>
  <sheetFormatPr defaultColWidth="9.00390625" defaultRowHeight="12.75"/>
  <cols>
    <col min="1" max="1" width="3.375" style="22" customWidth="1"/>
    <col min="2" max="2" width="36.875" style="22" customWidth="1"/>
    <col min="3" max="3" width="12.625" style="22" customWidth="1"/>
    <col min="4" max="4" width="12.375" style="22" customWidth="1"/>
    <col min="5" max="7" width="11.00390625" style="22" customWidth="1"/>
    <col min="8" max="8" width="12.25390625" style="22" customWidth="1"/>
    <col min="9" max="9" width="9.25390625" style="22" customWidth="1"/>
    <col min="10" max="10" width="8.00390625" style="22" customWidth="1"/>
    <col min="11" max="11" width="4.25390625" style="22" customWidth="1"/>
    <col min="12" max="12" width="13.75390625" style="22" customWidth="1"/>
    <col min="13" max="16384" width="9.125" style="22" customWidth="1"/>
  </cols>
  <sheetData>
    <row r="1" spans="4:12" ht="13.5" customHeight="1">
      <c r="D1" s="79"/>
      <c r="E1" s="80"/>
      <c r="F1" s="80"/>
      <c r="G1" s="80"/>
      <c r="H1" s="81"/>
      <c r="L1" s="48" t="s">
        <v>1</v>
      </c>
    </row>
    <row r="2" spans="4:12" ht="13.5" customHeight="1">
      <c r="D2" s="82"/>
      <c r="E2" s="81"/>
      <c r="F2" s="81"/>
      <c r="G2" s="81"/>
      <c r="H2" s="80"/>
      <c r="L2" s="47" t="s">
        <v>582</v>
      </c>
    </row>
    <row r="3" spans="4:12" ht="13.5" customHeight="1">
      <c r="D3" s="82"/>
      <c r="E3" s="81"/>
      <c r="F3" s="81"/>
      <c r="G3" s="81"/>
      <c r="H3" s="80"/>
      <c r="I3" s="23"/>
      <c r="J3" s="24"/>
      <c r="L3" s="47" t="s">
        <v>337</v>
      </c>
    </row>
    <row r="4" spans="4:10" ht="4.5" customHeight="1">
      <c r="D4" s="82"/>
      <c r="E4" s="81"/>
      <c r="F4" s="81"/>
      <c r="G4" s="81"/>
      <c r="H4" s="80"/>
      <c r="I4" s="23"/>
      <c r="J4" s="24"/>
    </row>
    <row r="5" spans="1:12" ht="16.5" customHeight="1">
      <c r="A5" s="831" t="s">
        <v>430</v>
      </c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</row>
    <row r="6" spans="1:12" ht="16.5" customHeight="1">
      <c r="A6" s="831" t="s">
        <v>24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</row>
    <row r="7" spans="2:12" ht="12.75" customHeight="1">
      <c r="B7" s="25"/>
      <c r="I7" s="83"/>
      <c r="J7" s="83"/>
      <c r="L7" s="83" t="s">
        <v>269</v>
      </c>
    </row>
    <row r="8" spans="1:12" s="114" customFormat="1" ht="15.75" customHeight="1">
      <c r="A8" s="815" t="s">
        <v>274</v>
      </c>
      <c r="B8" s="662" t="s">
        <v>205</v>
      </c>
      <c r="C8" s="815" t="s">
        <v>125</v>
      </c>
      <c r="D8" s="841" t="s">
        <v>179</v>
      </c>
      <c r="E8" s="842"/>
      <c r="F8" s="842"/>
      <c r="G8" s="843"/>
      <c r="H8" s="828" t="s">
        <v>211</v>
      </c>
      <c r="I8" s="828"/>
      <c r="J8" s="835" t="s">
        <v>426</v>
      </c>
      <c r="K8" s="836"/>
      <c r="L8" s="815" t="s">
        <v>25</v>
      </c>
    </row>
    <row r="9" spans="1:12" s="114" customFormat="1" ht="11.25" customHeight="1">
      <c r="A9" s="816"/>
      <c r="B9" s="804"/>
      <c r="C9" s="816"/>
      <c r="D9" s="815" t="s">
        <v>285</v>
      </c>
      <c r="E9" s="841" t="s">
        <v>389</v>
      </c>
      <c r="F9" s="842"/>
      <c r="G9" s="843"/>
      <c r="H9" s="153"/>
      <c r="I9" s="153"/>
      <c r="J9" s="837"/>
      <c r="K9" s="838"/>
      <c r="L9" s="816"/>
    </row>
    <row r="10" spans="1:12" s="134" customFormat="1" ht="11.25" customHeight="1">
      <c r="A10" s="816"/>
      <c r="B10" s="804"/>
      <c r="C10" s="816"/>
      <c r="D10" s="816"/>
      <c r="E10" s="832" t="s">
        <v>286</v>
      </c>
      <c r="F10" s="829" t="s">
        <v>389</v>
      </c>
      <c r="G10" s="830"/>
      <c r="H10" s="815" t="s">
        <v>285</v>
      </c>
      <c r="I10" s="832" t="s">
        <v>287</v>
      </c>
      <c r="J10" s="837"/>
      <c r="K10" s="838"/>
      <c r="L10" s="816"/>
    </row>
    <row r="11" spans="1:12" s="134" customFormat="1" ht="20.25" customHeight="1">
      <c r="A11" s="817"/>
      <c r="B11" s="804"/>
      <c r="C11" s="816"/>
      <c r="D11" s="816"/>
      <c r="E11" s="833"/>
      <c r="F11" s="260" t="s">
        <v>427</v>
      </c>
      <c r="G11" s="260" t="s">
        <v>428</v>
      </c>
      <c r="H11" s="817"/>
      <c r="I11" s="834"/>
      <c r="J11" s="839"/>
      <c r="K11" s="840"/>
      <c r="L11" s="817"/>
    </row>
    <row r="12" spans="1:12" s="114" customFormat="1" ht="12.75" customHeight="1">
      <c r="A12" s="257">
        <v>1</v>
      </c>
      <c r="B12" s="257">
        <v>2</v>
      </c>
      <c r="C12" s="257">
        <v>3</v>
      </c>
      <c r="D12" s="257">
        <v>4</v>
      </c>
      <c r="E12" s="257">
        <v>5</v>
      </c>
      <c r="F12" s="257">
        <v>6</v>
      </c>
      <c r="G12" s="257">
        <v>7</v>
      </c>
      <c r="H12" s="257">
        <v>8</v>
      </c>
      <c r="I12" s="257">
        <v>9</v>
      </c>
      <c r="J12" s="829">
        <v>10</v>
      </c>
      <c r="K12" s="830"/>
      <c r="L12" s="257">
        <v>11</v>
      </c>
    </row>
    <row r="13" spans="1:12" s="135" customFormat="1" ht="18.75" customHeight="1">
      <c r="A13" s="157" t="s">
        <v>288</v>
      </c>
      <c r="B13" s="480" t="s">
        <v>291</v>
      </c>
      <c r="C13" s="239">
        <f aca="true" t="shared" si="0" ref="C13:I13">SUM(C14:C16)</f>
        <v>1187998</v>
      </c>
      <c r="D13" s="239">
        <f t="shared" si="0"/>
        <v>3456000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3455630</v>
      </c>
      <c r="I13" s="239">
        <f t="shared" si="0"/>
        <v>370</v>
      </c>
      <c r="J13" s="821">
        <f>C13+D13-H13</f>
        <v>1188368</v>
      </c>
      <c r="K13" s="821"/>
      <c r="L13" s="239">
        <f>SUM(L14:L16)</f>
        <v>209234</v>
      </c>
    </row>
    <row r="14" spans="1:12" s="114" customFormat="1" ht="24">
      <c r="A14" s="257" t="s">
        <v>215</v>
      </c>
      <c r="B14" s="479" t="s">
        <v>292</v>
      </c>
      <c r="C14" s="247">
        <v>1006741</v>
      </c>
      <c r="D14" s="247">
        <v>980000</v>
      </c>
      <c r="E14" s="247">
        <v>0</v>
      </c>
      <c r="F14" s="247">
        <v>0</v>
      </c>
      <c r="G14" s="247">
        <v>0</v>
      </c>
      <c r="H14" s="247">
        <f>979260+370</f>
        <v>979630</v>
      </c>
      <c r="I14" s="247">
        <v>370</v>
      </c>
      <c r="J14" s="822">
        <f>SUM(C14+D14-H14)</f>
        <v>1007111</v>
      </c>
      <c r="K14" s="823"/>
      <c r="L14" s="473">
        <v>0</v>
      </c>
    </row>
    <row r="15" spans="1:12" s="114" customFormat="1" ht="24">
      <c r="A15" s="257" t="s">
        <v>216</v>
      </c>
      <c r="B15" s="479" t="s">
        <v>293</v>
      </c>
      <c r="C15" s="247">
        <v>152215</v>
      </c>
      <c r="D15" s="247">
        <v>2393000</v>
      </c>
      <c r="E15" s="247">
        <v>0</v>
      </c>
      <c r="F15" s="247">
        <v>0</v>
      </c>
      <c r="G15" s="247">
        <v>0</v>
      </c>
      <c r="H15" s="247">
        <f>2393000</f>
        <v>2393000</v>
      </c>
      <c r="I15" s="247">
        <v>0</v>
      </c>
      <c r="J15" s="822">
        <f>SUM(C15+D15-H15)</f>
        <v>152215</v>
      </c>
      <c r="K15" s="823"/>
      <c r="L15" s="473">
        <v>203940</v>
      </c>
    </row>
    <row r="16" spans="1:12" s="114" customFormat="1" ht="24">
      <c r="A16" s="257" t="s">
        <v>217</v>
      </c>
      <c r="B16" s="479" t="s">
        <v>294</v>
      </c>
      <c r="C16" s="247">
        <v>29042</v>
      </c>
      <c r="D16" s="247">
        <v>83000</v>
      </c>
      <c r="E16" s="247">
        <v>0</v>
      </c>
      <c r="F16" s="247">
        <v>0</v>
      </c>
      <c r="G16" s="247">
        <v>0</v>
      </c>
      <c r="H16" s="247">
        <v>83000</v>
      </c>
      <c r="I16" s="247">
        <v>0</v>
      </c>
      <c r="J16" s="822">
        <f>SUM(C16+D16-H16)</f>
        <v>29042</v>
      </c>
      <c r="K16" s="823"/>
      <c r="L16" s="247">
        <v>5294</v>
      </c>
    </row>
    <row r="17" spans="1:12" s="136" customFormat="1" ht="19.5" customHeight="1">
      <c r="A17" s="158" t="s">
        <v>290</v>
      </c>
      <c r="B17" s="259" t="s">
        <v>381</v>
      </c>
      <c r="C17" s="151">
        <f aca="true" t="shared" si="1" ref="C17:I17">SUM(C18:C26)</f>
        <v>252717</v>
      </c>
      <c r="D17" s="151">
        <f>SUM(D18:D26)</f>
        <v>573628</v>
      </c>
      <c r="E17" s="151">
        <f t="shared" si="1"/>
        <v>0</v>
      </c>
      <c r="F17" s="151">
        <f t="shared" si="1"/>
        <v>0</v>
      </c>
      <c r="G17" s="151">
        <f t="shared" si="1"/>
        <v>0</v>
      </c>
      <c r="H17" s="151">
        <f t="shared" si="1"/>
        <v>641087</v>
      </c>
      <c r="I17" s="151">
        <f t="shared" si="1"/>
        <v>0</v>
      </c>
      <c r="J17" s="824">
        <f>SUM(J18:K26)</f>
        <v>185258</v>
      </c>
      <c r="K17" s="825"/>
      <c r="L17" s="151">
        <f>SUM(L18:L26)</f>
        <v>0</v>
      </c>
    </row>
    <row r="18" spans="1:12" s="137" customFormat="1" ht="18" customHeight="1">
      <c r="A18" s="474" t="s">
        <v>215</v>
      </c>
      <c r="B18" s="481" t="s">
        <v>295</v>
      </c>
      <c r="C18" s="476">
        <v>3014</v>
      </c>
      <c r="D18" s="477">
        <v>91480</v>
      </c>
      <c r="E18" s="476">
        <v>0</v>
      </c>
      <c r="F18" s="476">
        <v>0</v>
      </c>
      <c r="G18" s="476">
        <v>0</v>
      </c>
      <c r="H18" s="477">
        <v>91480</v>
      </c>
      <c r="I18" s="476">
        <v>0</v>
      </c>
      <c r="J18" s="826">
        <f>C18+D18-H18</f>
        <v>3014</v>
      </c>
      <c r="K18" s="827"/>
      <c r="L18" s="478">
        <v>0</v>
      </c>
    </row>
    <row r="19" spans="1:12" s="137" customFormat="1" ht="18" customHeight="1">
      <c r="A19" s="474" t="s">
        <v>216</v>
      </c>
      <c r="B19" s="475" t="s">
        <v>296</v>
      </c>
      <c r="C19" s="476">
        <v>33102</v>
      </c>
      <c r="D19" s="477">
        <v>49106</v>
      </c>
      <c r="E19" s="476">
        <v>0</v>
      </c>
      <c r="F19" s="476">
        <v>0</v>
      </c>
      <c r="G19" s="476">
        <v>0</v>
      </c>
      <c r="H19" s="477">
        <v>82208</v>
      </c>
      <c r="I19" s="476">
        <v>0</v>
      </c>
      <c r="J19" s="826">
        <f>$C19+$D19-$H19</f>
        <v>0</v>
      </c>
      <c r="K19" s="827"/>
      <c r="L19" s="478">
        <v>0</v>
      </c>
    </row>
    <row r="20" spans="1:12" s="114" customFormat="1" ht="25.5" customHeight="1">
      <c r="A20" s="474" t="s">
        <v>217</v>
      </c>
      <c r="B20" s="479" t="s">
        <v>429</v>
      </c>
      <c r="C20" s="247">
        <v>21832</v>
      </c>
      <c r="D20" s="247">
        <v>77000</v>
      </c>
      <c r="E20" s="247">
        <v>0</v>
      </c>
      <c r="F20" s="247">
        <v>0</v>
      </c>
      <c r="G20" s="247">
        <v>0</v>
      </c>
      <c r="H20" s="247">
        <v>86776</v>
      </c>
      <c r="I20" s="247">
        <v>0</v>
      </c>
      <c r="J20" s="826">
        <f aca="true" t="shared" si="2" ref="J20:J26">$C20+$D20-$H20</f>
        <v>12056</v>
      </c>
      <c r="K20" s="827"/>
      <c r="L20" s="256">
        <v>0</v>
      </c>
    </row>
    <row r="21" spans="1:12" s="114" customFormat="1" ht="18.75" customHeight="1">
      <c r="A21" s="474" t="s">
        <v>206</v>
      </c>
      <c r="B21" s="479" t="s">
        <v>297</v>
      </c>
      <c r="C21" s="247">
        <v>15420</v>
      </c>
      <c r="D21" s="247">
        <v>272500</v>
      </c>
      <c r="E21" s="247">
        <v>0</v>
      </c>
      <c r="F21" s="247">
        <v>0</v>
      </c>
      <c r="G21" s="247">
        <v>0</v>
      </c>
      <c r="H21" s="247">
        <v>273000</v>
      </c>
      <c r="I21" s="247">
        <v>0</v>
      </c>
      <c r="J21" s="826">
        <f t="shared" si="2"/>
        <v>14920</v>
      </c>
      <c r="K21" s="827"/>
      <c r="L21" s="256">
        <v>0</v>
      </c>
    </row>
    <row r="22" spans="1:12" s="114" customFormat="1" ht="25.5" customHeight="1">
      <c r="A22" s="474" t="s">
        <v>221</v>
      </c>
      <c r="B22" s="479" t="s">
        <v>298</v>
      </c>
      <c r="C22" s="247">
        <v>14776</v>
      </c>
      <c r="D22" s="247">
        <v>2000</v>
      </c>
      <c r="E22" s="247">
        <v>0</v>
      </c>
      <c r="F22" s="247">
        <v>0</v>
      </c>
      <c r="G22" s="247">
        <v>0</v>
      </c>
      <c r="H22" s="247">
        <f>5000+11383</f>
        <v>16383</v>
      </c>
      <c r="I22" s="247">
        <v>0</v>
      </c>
      <c r="J22" s="826">
        <f t="shared" si="2"/>
        <v>393</v>
      </c>
      <c r="K22" s="827"/>
      <c r="L22" s="256">
        <v>0</v>
      </c>
    </row>
    <row r="23" spans="1:12" s="114" customFormat="1" ht="20.25" customHeight="1">
      <c r="A23" s="474" t="s">
        <v>225</v>
      </c>
      <c r="B23" s="479" t="s">
        <v>299</v>
      </c>
      <c r="C23" s="247">
        <v>65085</v>
      </c>
      <c r="D23" s="247">
        <v>11000</v>
      </c>
      <c r="E23" s="247">
        <v>0</v>
      </c>
      <c r="F23" s="247">
        <v>0</v>
      </c>
      <c r="G23" s="247">
        <v>0</v>
      </c>
      <c r="H23" s="247">
        <v>9698</v>
      </c>
      <c r="I23" s="247">
        <v>0</v>
      </c>
      <c r="J23" s="826">
        <f t="shared" si="2"/>
        <v>66387</v>
      </c>
      <c r="K23" s="827"/>
      <c r="L23" s="256">
        <v>0</v>
      </c>
    </row>
    <row r="24" spans="1:12" s="114" customFormat="1" ht="20.25" customHeight="1">
      <c r="A24" s="474" t="s">
        <v>235</v>
      </c>
      <c r="B24" s="479" t="s">
        <v>301</v>
      </c>
      <c r="C24" s="247">
        <v>78896</v>
      </c>
      <c r="D24" s="247">
        <f>1000+29650</f>
        <v>30650</v>
      </c>
      <c r="E24" s="247">
        <v>0</v>
      </c>
      <c r="F24" s="247">
        <v>0</v>
      </c>
      <c r="G24" s="247">
        <v>0</v>
      </c>
      <c r="H24" s="247">
        <f>6598+29650</f>
        <v>36248</v>
      </c>
      <c r="I24" s="247">
        <v>0</v>
      </c>
      <c r="J24" s="826">
        <f t="shared" si="2"/>
        <v>73298</v>
      </c>
      <c r="K24" s="827"/>
      <c r="L24" s="256">
        <v>0</v>
      </c>
    </row>
    <row r="25" spans="1:12" s="114" customFormat="1" ht="20.25" customHeight="1">
      <c r="A25" s="474" t="s">
        <v>244</v>
      </c>
      <c r="B25" s="479" t="s">
        <v>303</v>
      </c>
      <c r="C25" s="247">
        <v>3259</v>
      </c>
      <c r="D25" s="247">
        <v>3800</v>
      </c>
      <c r="E25" s="247">
        <v>0</v>
      </c>
      <c r="F25" s="247">
        <v>0</v>
      </c>
      <c r="G25" s="247">
        <v>0</v>
      </c>
      <c r="H25" s="247">
        <v>3800</v>
      </c>
      <c r="I25" s="247">
        <v>0</v>
      </c>
      <c r="J25" s="826">
        <f t="shared" si="2"/>
        <v>3259</v>
      </c>
      <c r="K25" s="827"/>
      <c r="L25" s="256">
        <v>0</v>
      </c>
    </row>
    <row r="26" spans="1:12" s="138" customFormat="1" ht="24" customHeight="1">
      <c r="A26" s="474" t="s">
        <v>300</v>
      </c>
      <c r="B26" s="34" t="s">
        <v>431</v>
      </c>
      <c r="C26" s="247">
        <v>17333</v>
      </c>
      <c r="D26" s="247">
        <v>36092</v>
      </c>
      <c r="E26" s="247">
        <v>0</v>
      </c>
      <c r="F26" s="247">
        <v>0</v>
      </c>
      <c r="G26" s="247">
        <v>0</v>
      </c>
      <c r="H26" s="247">
        <v>41494</v>
      </c>
      <c r="I26" s="247">
        <v>0</v>
      </c>
      <c r="J26" s="826">
        <f t="shared" si="2"/>
        <v>11931</v>
      </c>
      <c r="K26" s="827"/>
      <c r="L26" s="256">
        <v>0</v>
      </c>
    </row>
    <row r="27" spans="1:12" s="32" customFormat="1" ht="20.25" customHeight="1">
      <c r="A27" s="820" t="s">
        <v>180</v>
      </c>
      <c r="B27" s="820"/>
      <c r="C27" s="151">
        <f aca="true" t="shared" si="3" ref="C27:I27">SUM(C17,C13)</f>
        <v>1440715</v>
      </c>
      <c r="D27" s="151">
        <f t="shared" si="3"/>
        <v>4029628</v>
      </c>
      <c r="E27" s="151">
        <f t="shared" si="3"/>
        <v>0</v>
      </c>
      <c r="F27" s="151">
        <f t="shared" si="3"/>
        <v>0</v>
      </c>
      <c r="G27" s="151">
        <f t="shared" si="3"/>
        <v>0</v>
      </c>
      <c r="H27" s="151">
        <f t="shared" si="3"/>
        <v>4096717</v>
      </c>
      <c r="I27" s="151">
        <f t="shared" si="3"/>
        <v>370</v>
      </c>
      <c r="J27" s="821">
        <f>SUM(J13,J17)</f>
        <v>1373626</v>
      </c>
      <c r="K27" s="821"/>
      <c r="L27" s="151">
        <f>SUM(L17,L13)</f>
        <v>209234</v>
      </c>
    </row>
    <row r="28" ht="8.25" customHeight="1"/>
    <row r="29" spans="1:7" ht="12.75">
      <c r="A29" s="89" t="s">
        <v>127</v>
      </c>
      <c r="D29" s="27"/>
      <c r="E29" s="27"/>
      <c r="F29" s="27"/>
      <c r="G29" s="27"/>
    </row>
    <row r="30" spans="1:7" s="26" customFormat="1" ht="11.25">
      <c r="A30" s="26" t="s">
        <v>126</v>
      </c>
      <c r="E30" s="108"/>
      <c r="F30" s="108"/>
      <c r="G30" s="108"/>
    </row>
    <row r="31" spans="1:7" s="26" customFormat="1" ht="11.25">
      <c r="A31" s="26" t="s">
        <v>128</v>
      </c>
      <c r="E31" s="108"/>
      <c r="F31" s="108"/>
      <c r="G31" s="108"/>
    </row>
  </sheetData>
  <mergeCells count="32">
    <mergeCell ref="B8:B11"/>
    <mergeCell ref="C8:C11"/>
    <mergeCell ref="D9:D11"/>
    <mergeCell ref="D8:G8"/>
    <mergeCell ref="E9:G9"/>
    <mergeCell ref="F10:G10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J16:K16"/>
    <mergeCell ref="J26:K26"/>
    <mergeCell ref="J20:K20"/>
    <mergeCell ref="J21:K21"/>
    <mergeCell ref="J22:K22"/>
    <mergeCell ref="J23:K23"/>
    <mergeCell ref="A27:B27"/>
    <mergeCell ref="J27:K27"/>
    <mergeCell ref="J13:K13"/>
    <mergeCell ref="J14:K14"/>
    <mergeCell ref="J15:K15"/>
    <mergeCell ref="J17:K17"/>
    <mergeCell ref="J18:K18"/>
    <mergeCell ref="J19:K19"/>
    <mergeCell ref="J24:K24"/>
    <mergeCell ref="J25:K25"/>
  </mergeCells>
  <printOptions/>
  <pageMargins left="0.28" right="0.18" top="0.71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/>
  <dimension ref="A1:J37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7.25" customHeight="1">
      <c r="A1" s="844" t="s">
        <v>237</v>
      </c>
      <c r="B1" s="844"/>
      <c r="C1" s="844"/>
      <c r="D1" s="6"/>
      <c r="E1" s="6"/>
      <c r="F1" s="6"/>
      <c r="G1" s="6"/>
      <c r="H1" s="6"/>
      <c r="I1" s="6"/>
      <c r="J1" s="6"/>
    </row>
    <row r="2" spans="1:7" ht="16.5" customHeight="1">
      <c r="A2" s="844" t="s">
        <v>377</v>
      </c>
      <c r="B2" s="844"/>
      <c r="C2" s="844"/>
      <c r="D2" s="6"/>
      <c r="E2" s="6"/>
      <c r="F2" s="6"/>
      <c r="G2" s="6"/>
    </row>
    <row r="3" ht="13.5" thickBot="1">
      <c r="C3" s="11" t="s">
        <v>269</v>
      </c>
    </row>
    <row r="4" spans="1:10" s="137" customFormat="1" ht="19.5" customHeight="1">
      <c r="A4" s="281" t="s">
        <v>212</v>
      </c>
      <c r="B4" s="282" t="s">
        <v>205</v>
      </c>
      <c r="C4" s="283" t="s">
        <v>19</v>
      </c>
      <c r="D4" s="140"/>
      <c r="E4" s="140"/>
      <c r="F4" s="140"/>
      <c r="G4" s="140"/>
      <c r="H4" s="140"/>
      <c r="I4" s="141"/>
      <c r="J4" s="141"/>
    </row>
    <row r="5" spans="1:10" s="139" customFormat="1" ht="19.5" customHeight="1">
      <c r="A5" s="284" t="s">
        <v>214</v>
      </c>
      <c r="B5" s="285" t="s">
        <v>239</v>
      </c>
      <c r="C5" s="292">
        <f>SUM(C6-C8)</f>
        <v>51888</v>
      </c>
      <c r="D5" s="142"/>
      <c r="E5" s="142"/>
      <c r="F5" s="142"/>
      <c r="G5" s="142"/>
      <c r="H5" s="142"/>
      <c r="I5" s="143"/>
      <c r="J5" s="143"/>
    </row>
    <row r="6" spans="1:10" s="139" customFormat="1" ht="16.5" customHeight="1">
      <c r="A6" s="159" t="s">
        <v>215</v>
      </c>
      <c r="B6" s="286" t="s">
        <v>243</v>
      </c>
      <c r="C6" s="293">
        <v>52098</v>
      </c>
      <c r="D6" s="142"/>
      <c r="E6" s="142"/>
      <c r="F6" s="142"/>
      <c r="G6" s="142"/>
      <c r="H6" s="142"/>
      <c r="I6" s="143"/>
      <c r="J6" s="143"/>
    </row>
    <row r="7" spans="1:10" s="139" customFormat="1" ht="16.5" customHeight="1">
      <c r="A7" s="159" t="s">
        <v>216</v>
      </c>
      <c r="B7" s="286" t="s">
        <v>242</v>
      </c>
      <c r="C7" s="293">
        <v>0</v>
      </c>
      <c r="D7" s="142"/>
      <c r="E7" s="142"/>
      <c r="F7" s="142"/>
      <c r="G7" s="142"/>
      <c r="H7" s="142"/>
      <c r="I7" s="143"/>
      <c r="J7" s="143"/>
    </row>
    <row r="8" spans="1:10" s="139" customFormat="1" ht="16.5" customHeight="1">
      <c r="A8" s="159" t="s">
        <v>217</v>
      </c>
      <c r="B8" s="286" t="s">
        <v>241</v>
      </c>
      <c r="C8" s="293">
        <v>210</v>
      </c>
      <c r="D8" s="142"/>
      <c r="E8" s="142"/>
      <c r="F8" s="142"/>
      <c r="G8" s="142"/>
      <c r="H8" s="142"/>
      <c r="I8" s="143"/>
      <c r="J8" s="143"/>
    </row>
    <row r="9" spans="1:10" s="139" customFormat="1" ht="16.5" customHeight="1">
      <c r="A9" s="159" t="s">
        <v>206</v>
      </c>
      <c r="B9" s="286" t="s">
        <v>419</v>
      </c>
      <c r="C9" s="293">
        <v>0</v>
      </c>
      <c r="D9" s="142"/>
      <c r="E9" s="142"/>
      <c r="F9" s="142"/>
      <c r="G9" s="142"/>
      <c r="H9" s="142"/>
      <c r="I9" s="143"/>
      <c r="J9" s="143"/>
    </row>
    <row r="10" spans="1:10" s="139" customFormat="1" ht="19.5" customHeight="1">
      <c r="A10" s="284" t="s">
        <v>218</v>
      </c>
      <c r="B10" s="285" t="s">
        <v>213</v>
      </c>
      <c r="C10" s="292">
        <f>SUM(C11:C12)</f>
        <v>150000</v>
      </c>
      <c r="D10" s="142"/>
      <c r="E10" s="142"/>
      <c r="F10" s="142"/>
      <c r="G10" s="142"/>
      <c r="H10" s="142"/>
      <c r="I10" s="143"/>
      <c r="J10" s="143"/>
    </row>
    <row r="11" spans="1:10" s="139" customFormat="1" ht="17.25" customHeight="1">
      <c r="A11" s="159" t="s">
        <v>215</v>
      </c>
      <c r="B11" s="287" t="s">
        <v>270</v>
      </c>
      <c r="C11" s="294">
        <v>150000</v>
      </c>
      <c r="D11" s="142"/>
      <c r="E11" s="142"/>
      <c r="F11" s="142"/>
      <c r="G11" s="142"/>
      <c r="H11" s="142"/>
      <c r="I11" s="143"/>
      <c r="J11" s="143"/>
    </row>
    <row r="12" spans="1:10" s="139" customFormat="1" ht="0.75" customHeight="1" hidden="1">
      <c r="A12" s="159"/>
      <c r="B12" s="287"/>
      <c r="C12" s="294"/>
      <c r="D12" s="142"/>
      <c r="E12" s="142"/>
      <c r="F12" s="142"/>
      <c r="G12" s="142"/>
      <c r="H12" s="142"/>
      <c r="I12" s="143"/>
      <c r="J12" s="143"/>
    </row>
    <row r="13" spans="1:10" s="139" customFormat="1" ht="19.5" customHeight="1">
      <c r="A13" s="284" t="s">
        <v>277</v>
      </c>
      <c r="B13" s="288" t="s">
        <v>278</v>
      </c>
      <c r="C13" s="292">
        <f>C5+C10</f>
        <v>201888</v>
      </c>
      <c r="D13" s="142"/>
      <c r="E13" s="142"/>
      <c r="F13" s="142"/>
      <c r="G13" s="142"/>
      <c r="H13" s="142"/>
      <c r="I13" s="143"/>
      <c r="J13" s="143"/>
    </row>
    <row r="14" spans="1:10" s="139" customFormat="1" ht="19.5" customHeight="1">
      <c r="A14" s="284" t="s">
        <v>219</v>
      </c>
      <c r="B14" s="285" t="s">
        <v>211</v>
      </c>
      <c r="C14" s="292">
        <f>C15+C25</f>
        <v>201888</v>
      </c>
      <c r="D14" s="142"/>
      <c r="E14" s="142"/>
      <c r="F14" s="142"/>
      <c r="G14" s="142"/>
      <c r="H14" s="142"/>
      <c r="I14" s="143"/>
      <c r="J14" s="143"/>
    </row>
    <row r="15" spans="1:10" s="139" customFormat="1" ht="17.25" customHeight="1">
      <c r="A15" s="159" t="s">
        <v>215</v>
      </c>
      <c r="B15" s="285" t="s">
        <v>354</v>
      </c>
      <c r="C15" s="292">
        <f>SUM(C16:C24)</f>
        <v>138888</v>
      </c>
      <c r="D15" s="142"/>
      <c r="E15" s="142"/>
      <c r="F15" s="142"/>
      <c r="G15" s="142"/>
      <c r="H15" s="142"/>
      <c r="I15" s="143"/>
      <c r="J15" s="143"/>
    </row>
    <row r="16" spans="1:10" s="139" customFormat="1" ht="28.5" customHeight="1">
      <c r="A16" s="159"/>
      <c r="B16" s="289" t="s">
        <v>279</v>
      </c>
      <c r="C16" s="293">
        <v>30000</v>
      </c>
      <c r="D16" s="142"/>
      <c r="E16" s="142"/>
      <c r="F16" s="142"/>
      <c r="G16" s="142"/>
      <c r="H16" s="142"/>
      <c r="I16" s="143"/>
      <c r="J16" s="143"/>
    </row>
    <row r="17" spans="1:10" s="139" customFormat="1" ht="44.25" customHeight="1">
      <c r="A17" s="159"/>
      <c r="B17" s="289" t="s">
        <v>282</v>
      </c>
      <c r="C17" s="294">
        <v>10000</v>
      </c>
      <c r="D17" s="142"/>
      <c r="E17" s="142"/>
      <c r="F17" s="142"/>
      <c r="G17" s="142"/>
      <c r="H17" s="142"/>
      <c r="I17" s="143"/>
      <c r="J17" s="143"/>
    </row>
    <row r="18" spans="1:10" s="139" customFormat="1" ht="15.75" customHeight="1">
      <c r="A18" s="159"/>
      <c r="B18" s="287" t="s">
        <v>557</v>
      </c>
      <c r="C18" s="294">
        <v>2000</v>
      </c>
      <c r="D18" s="142"/>
      <c r="E18" s="142"/>
      <c r="F18" s="142"/>
      <c r="G18" s="142"/>
      <c r="H18" s="142"/>
      <c r="I18" s="143"/>
      <c r="J18" s="143"/>
    </row>
    <row r="19" spans="1:10" s="139" customFormat="1" ht="15.75" customHeight="1">
      <c r="A19" s="159"/>
      <c r="B19" s="287" t="s">
        <v>283</v>
      </c>
      <c r="C19" s="294">
        <v>18000</v>
      </c>
      <c r="D19" s="142"/>
      <c r="E19" s="142"/>
      <c r="F19" s="142"/>
      <c r="G19" s="142"/>
      <c r="H19" s="142"/>
      <c r="I19" s="143"/>
      <c r="J19" s="143"/>
    </row>
    <row r="20" spans="1:10" s="139" customFormat="1" ht="15">
      <c r="A20" s="159"/>
      <c r="B20" s="287" t="s">
        <v>204</v>
      </c>
      <c r="C20" s="294">
        <f>70000-6000</f>
        <v>64000</v>
      </c>
      <c r="D20" s="142"/>
      <c r="E20" s="142"/>
      <c r="F20" s="142"/>
      <c r="G20" s="142"/>
      <c r="H20" s="142"/>
      <c r="I20" s="143"/>
      <c r="J20" s="143"/>
    </row>
    <row r="21" spans="1:10" s="139" customFormat="1" ht="18.75" customHeight="1">
      <c r="A21" s="159"/>
      <c r="B21" s="287" t="s">
        <v>558</v>
      </c>
      <c r="C21" s="294">
        <v>2000</v>
      </c>
      <c r="D21" s="142"/>
      <c r="E21" s="142"/>
      <c r="F21" s="142"/>
      <c r="G21" s="142"/>
      <c r="H21" s="142"/>
      <c r="I21" s="143"/>
      <c r="J21" s="143"/>
    </row>
    <row r="22" spans="1:10" s="139" customFormat="1" ht="29.25" customHeight="1">
      <c r="A22" s="159"/>
      <c r="B22" s="289" t="s">
        <v>559</v>
      </c>
      <c r="C22" s="294">
        <f>6000+1888</f>
        <v>7888</v>
      </c>
      <c r="D22" s="142"/>
      <c r="E22" s="142"/>
      <c r="F22" s="142"/>
      <c r="G22" s="142"/>
      <c r="H22" s="142"/>
      <c r="I22" s="143"/>
      <c r="J22" s="143"/>
    </row>
    <row r="23" spans="1:10" s="139" customFormat="1" ht="31.5" customHeight="1">
      <c r="A23" s="159"/>
      <c r="B23" s="289" t="s">
        <v>560</v>
      </c>
      <c r="C23" s="294">
        <v>1000</v>
      </c>
      <c r="D23" s="142"/>
      <c r="E23" s="142"/>
      <c r="F23" s="142"/>
      <c r="G23" s="142"/>
      <c r="H23" s="142"/>
      <c r="I23" s="143"/>
      <c r="J23" s="143"/>
    </row>
    <row r="24" spans="1:10" s="139" customFormat="1" ht="31.5" customHeight="1">
      <c r="A24" s="159"/>
      <c r="B24" s="289" t="s">
        <v>561</v>
      </c>
      <c r="C24" s="294">
        <v>4000</v>
      </c>
      <c r="D24" s="142"/>
      <c r="E24" s="142"/>
      <c r="F24" s="142"/>
      <c r="G24" s="142"/>
      <c r="H24" s="142"/>
      <c r="I24" s="143"/>
      <c r="J24" s="143"/>
    </row>
    <row r="25" spans="1:10" s="139" customFormat="1" ht="19.5" customHeight="1">
      <c r="A25" s="159" t="s">
        <v>216</v>
      </c>
      <c r="B25" s="285" t="s">
        <v>355</v>
      </c>
      <c r="C25" s="292">
        <f>SUM(C26:C28)</f>
        <v>63000</v>
      </c>
      <c r="D25" s="142"/>
      <c r="E25" s="142"/>
      <c r="F25" s="142"/>
      <c r="G25" s="142"/>
      <c r="H25" s="142"/>
      <c r="I25" s="143"/>
      <c r="J25" s="143"/>
    </row>
    <row r="26" spans="1:10" s="139" customFormat="1" ht="15" customHeight="1" hidden="1">
      <c r="A26" s="159"/>
      <c r="B26" s="289" t="s">
        <v>280</v>
      </c>
      <c r="C26" s="293">
        <v>0</v>
      </c>
      <c r="D26" s="142"/>
      <c r="E26" s="142"/>
      <c r="F26" s="142"/>
      <c r="G26" s="142"/>
      <c r="H26" s="142"/>
      <c r="I26" s="143"/>
      <c r="J26" s="143"/>
    </row>
    <row r="27" spans="1:10" s="139" customFormat="1" ht="42.75">
      <c r="A27" s="159"/>
      <c r="B27" s="289" t="s">
        <v>281</v>
      </c>
      <c r="C27" s="293">
        <v>27000</v>
      </c>
      <c r="D27" s="142"/>
      <c r="E27" s="142"/>
      <c r="F27" s="142"/>
      <c r="G27" s="142"/>
      <c r="H27" s="142"/>
      <c r="I27" s="143"/>
      <c r="J27" s="143"/>
    </row>
    <row r="28" spans="1:10" ht="57">
      <c r="A28" s="159"/>
      <c r="B28" s="289" t="s">
        <v>284</v>
      </c>
      <c r="C28" s="293">
        <f>30000+6000</f>
        <v>36000</v>
      </c>
      <c r="D28" s="7"/>
      <c r="E28" s="7"/>
      <c r="F28" s="7"/>
      <c r="G28" s="7"/>
      <c r="H28" s="7"/>
      <c r="I28" s="8"/>
      <c r="J28" s="8"/>
    </row>
    <row r="29" spans="1:10" ht="15">
      <c r="A29" s="284" t="s">
        <v>238</v>
      </c>
      <c r="B29" s="285" t="s">
        <v>240</v>
      </c>
      <c r="C29" s="292">
        <f>C5+C10-C14</f>
        <v>0</v>
      </c>
      <c r="D29" s="7"/>
      <c r="E29" s="7"/>
      <c r="F29" s="7"/>
      <c r="G29" s="7"/>
      <c r="H29" s="7"/>
      <c r="I29" s="8"/>
      <c r="J29" s="8"/>
    </row>
    <row r="30" spans="1:10" ht="15">
      <c r="A30" s="159" t="s">
        <v>215</v>
      </c>
      <c r="B30" s="286" t="s">
        <v>243</v>
      </c>
      <c r="C30" s="294">
        <v>0</v>
      </c>
      <c r="D30" s="7"/>
      <c r="E30" s="7"/>
      <c r="F30" s="7"/>
      <c r="G30" s="7"/>
      <c r="H30" s="7"/>
      <c r="I30" s="8"/>
      <c r="J30" s="8"/>
    </row>
    <row r="31" spans="1:10" ht="15">
      <c r="A31" s="159" t="s">
        <v>216</v>
      </c>
      <c r="B31" s="286" t="s">
        <v>242</v>
      </c>
      <c r="C31" s="294">
        <v>0</v>
      </c>
      <c r="D31" s="7"/>
      <c r="E31" s="7"/>
      <c r="F31" s="7"/>
      <c r="G31" s="7"/>
      <c r="H31" s="7"/>
      <c r="I31" s="8"/>
      <c r="J31" s="8"/>
    </row>
    <row r="32" spans="1:10" ht="15">
      <c r="A32" s="159" t="s">
        <v>217</v>
      </c>
      <c r="B32" s="286" t="s">
        <v>241</v>
      </c>
      <c r="C32" s="294">
        <v>0</v>
      </c>
      <c r="D32" s="7"/>
      <c r="E32" s="7"/>
      <c r="F32" s="7"/>
      <c r="G32" s="7"/>
      <c r="H32" s="7"/>
      <c r="I32" s="8"/>
      <c r="J32" s="8"/>
    </row>
    <row r="33" spans="1:10" ht="15.75" thickBot="1">
      <c r="A33" s="290" t="s">
        <v>206</v>
      </c>
      <c r="B33" s="291" t="s">
        <v>419</v>
      </c>
      <c r="C33" s="295">
        <v>0</v>
      </c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8
do Uchwały Rady Powiatu nr  XXVI/        /09
z dnia  26 marca 2009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J51"/>
  <sheetViews>
    <sheetView workbookViewId="0" topLeftCell="A1">
      <selection activeCell="E10" sqref="E10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ht="12.75">
      <c r="C1" s="35" t="s">
        <v>432</v>
      </c>
    </row>
    <row r="2" ht="14.25">
      <c r="C2" s="630" t="s">
        <v>582</v>
      </c>
    </row>
    <row r="3" ht="14.25">
      <c r="C3" s="630" t="s">
        <v>77</v>
      </c>
    </row>
    <row r="4" ht="7.5" customHeight="1"/>
    <row r="5" spans="1:10" ht="15" customHeight="1">
      <c r="A5" s="844" t="s">
        <v>237</v>
      </c>
      <c r="B5" s="844"/>
      <c r="C5" s="844"/>
      <c r="D5" s="6"/>
      <c r="E5" s="6"/>
      <c r="F5" s="6"/>
      <c r="G5" s="6"/>
      <c r="H5" s="6"/>
      <c r="I5" s="6"/>
      <c r="J5" s="6"/>
    </row>
    <row r="6" spans="1:7" ht="16.5" customHeight="1">
      <c r="A6" s="844" t="s">
        <v>201</v>
      </c>
      <c r="B6" s="844"/>
      <c r="C6" s="844"/>
      <c r="D6" s="6"/>
      <c r="E6" s="6"/>
      <c r="F6" s="6"/>
      <c r="G6" s="6"/>
    </row>
    <row r="7" ht="6.75" customHeight="1"/>
    <row r="8" ht="13.5" thickBot="1">
      <c r="C8" s="11" t="s">
        <v>269</v>
      </c>
    </row>
    <row r="9" spans="1:10" s="137" customFormat="1" ht="19.5" customHeight="1" thickBot="1">
      <c r="A9" s="261" t="s">
        <v>212</v>
      </c>
      <c r="B9" s="261" t="s">
        <v>205</v>
      </c>
      <c r="C9" s="261" t="s">
        <v>19</v>
      </c>
      <c r="D9" s="140"/>
      <c r="E9" s="140"/>
      <c r="F9" s="140"/>
      <c r="G9" s="140"/>
      <c r="H9" s="140"/>
      <c r="I9" s="141"/>
      <c r="J9" s="141"/>
    </row>
    <row r="10" spans="1:10" s="139" customFormat="1" ht="19.5" customHeight="1" thickBot="1">
      <c r="A10" s="262" t="s">
        <v>214</v>
      </c>
      <c r="B10" s="263" t="s">
        <v>239</v>
      </c>
      <c r="C10" s="264">
        <f>SUM(C11:C12,-C13)</f>
        <v>541869</v>
      </c>
      <c r="D10" s="142"/>
      <c r="E10" s="142"/>
      <c r="F10" s="142"/>
      <c r="G10" s="142"/>
      <c r="H10" s="142"/>
      <c r="I10" s="143"/>
      <c r="J10" s="143"/>
    </row>
    <row r="11" spans="1:10" s="139" customFormat="1" ht="15" customHeight="1">
      <c r="A11" s="267" t="s">
        <v>215</v>
      </c>
      <c r="B11" s="268" t="s">
        <v>243</v>
      </c>
      <c r="C11" s="265">
        <v>541677</v>
      </c>
      <c r="D11" s="142"/>
      <c r="E11" s="142"/>
      <c r="F11" s="142"/>
      <c r="G11" s="142"/>
      <c r="H11" s="142"/>
      <c r="I11" s="143"/>
      <c r="J11" s="143"/>
    </row>
    <row r="12" spans="1:10" s="139" customFormat="1" ht="15" customHeight="1">
      <c r="A12" s="269" t="s">
        <v>216</v>
      </c>
      <c r="B12" s="270" t="s">
        <v>242</v>
      </c>
      <c r="C12" s="266">
        <v>34613</v>
      </c>
      <c r="D12" s="142"/>
      <c r="E12" s="142"/>
      <c r="F12" s="142"/>
      <c r="G12" s="142"/>
      <c r="H12" s="142"/>
      <c r="I12" s="143"/>
      <c r="J12" s="143"/>
    </row>
    <row r="13" spans="1:10" s="139" customFormat="1" ht="15" customHeight="1">
      <c r="A13" s="269" t="s">
        <v>217</v>
      </c>
      <c r="B13" s="270" t="s">
        <v>241</v>
      </c>
      <c r="C13" s="266">
        <v>34421</v>
      </c>
      <c r="D13" s="142"/>
      <c r="E13" s="142"/>
      <c r="F13" s="142"/>
      <c r="G13" s="142"/>
      <c r="H13" s="142"/>
      <c r="I13" s="143"/>
      <c r="J13" s="143"/>
    </row>
    <row r="14" spans="1:10" s="139" customFormat="1" ht="15" customHeight="1" thickBot="1">
      <c r="A14" s="269" t="s">
        <v>206</v>
      </c>
      <c r="B14" s="270" t="s">
        <v>419</v>
      </c>
      <c r="C14" s="265">
        <v>0</v>
      </c>
      <c r="D14" s="142"/>
      <c r="E14" s="142"/>
      <c r="F14" s="142"/>
      <c r="G14" s="142"/>
      <c r="H14" s="142"/>
      <c r="I14" s="143"/>
      <c r="J14" s="143"/>
    </row>
    <row r="15" spans="1:10" s="139" customFormat="1" ht="19.5" customHeight="1" thickBot="1">
      <c r="A15" s="272" t="s">
        <v>218</v>
      </c>
      <c r="B15" s="263" t="s">
        <v>213</v>
      </c>
      <c r="C15" s="264">
        <f>SUM(C16:C18)</f>
        <v>420000</v>
      </c>
      <c r="D15" s="142"/>
      <c r="E15" s="142"/>
      <c r="F15" s="142"/>
      <c r="G15" s="142"/>
      <c r="H15" s="142"/>
      <c r="I15" s="143"/>
      <c r="J15" s="143"/>
    </row>
    <row r="16" spans="1:10" s="139" customFormat="1" ht="19.5" customHeight="1">
      <c r="A16" s="279" t="s">
        <v>215</v>
      </c>
      <c r="B16" s="296" t="s">
        <v>202</v>
      </c>
      <c r="C16" s="266">
        <v>405000</v>
      </c>
      <c r="D16" s="142"/>
      <c r="E16" s="142"/>
      <c r="F16" s="142"/>
      <c r="G16" s="142"/>
      <c r="H16" s="142"/>
      <c r="I16" s="143"/>
      <c r="J16" s="143"/>
    </row>
    <row r="17" spans="1:10" s="139" customFormat="1" ht="15.75" customHeight="1" thickBot="1">
      <c r="A17" s="280" t="s">
        <v>216</v>
      </c>
      <c r="B17" s="296" t="s">
        <v>378</v>
      </c>
      <c r="C17" s="266">
        <v>15000</v>
      </c>
      <c r="D17" s="142"/>
      <c r="E17" s="142"/>
      <c r="F17" s="142"/>
      <c r="G17" s="142"/>
      <c r="H17" s="142"/>
      <c r="I17" s="143"/>
      <c r="J17" s="143"/>
    </row>
    <row r="18" spans="1:10" s="139" customFormat="1" ht="0.75" customHeight="1" hidden="1" thickBot="1">
      <c r="A18" s="144"/>
      <c r="B18" s="145"/>
      <c r="C18" s="146"/>
      <c r="D18" s="142"/>
      <c r="E18" s="142"/>
      <c r="F18" s="142"/>
      <c r="G18" s="142"/>
      <c r="H18" s="142"/>
      <c r="I18" s="143"/>
      <c r="J18" s="143"/>
    </row>
    <row r="19" spans="1:10" s="139" customFormat="1" ht="19.5" customHeight="1" thickBot="1">
      <c r="A19" s="262" t="s">
        <v>277</v>
      </c>
      <c r="B19" s="271" t="s">
        <v>278</v>
      </c>
      <c r="C19" s="264">
        <f>C10+C15</f>
        <v>961869</v>
      </c>
      <c r="D19" s="142"/>
      <c r="E19" s="142"/>
      <c r="F19" s="142"/>
      <c r="G19" s="142"/>
      <c r="H19" s="142"/>
      <c r="I19" s="143"/>
      <c r="J19" s="143"/>
    </row>
    <row r="20" spans="1:10" s="139" customFormat="1" ht="19.5" customHeight="1" thickBot="1">
      <c r="A20" s="272" t="s">
        <v>219</v>
      </c>
      <c r="B20" s="263" t="s">
        <v>211</v>
      </c>
      <c r="C20" s="264">
        <f>C21+C32+C34</f>
        <v>961869</v>
      </c>
      <c r="D20" s="142"/>
      <c r="E20" s="142"/>
      <c r="F20" s="142"/>
      <c r="G20" s="142"/>
      <c r="H20" s="142"/>
      <c r="I20" s="143"/>
      <c r="J20" s="143"/>
    </row>
    <row r="21" spans="1:10" s="139" customFormat="1" ht="19.5" customHeight="1">
      <c r="A21" s="276" t="s">
        <v>215</v>
      </c>
      <c r="B21" s="273" t="s">
        <v>354</v>
      </c>
      <c r="C21" s="297">
        <f>SUM(C22:C31)</f>
        <v>807869</v>
      </c>
      <c r="D21" s="142"/>
      <c r="E21" s="142"/>
      <c r="F21" s="142"/>
      <c r="G21" s="142"/>
      <c r="H21" s="142"/>
      <c r="I21" s="143"/>
      <c r="J21" s="143"/>
    </row>
    <row r="22" spans="1:10" s="139" customFormat="1" ht="17.25" customHeight="1">
      <c r="A22" s="274"/>
      <c r="B22" s="275" t="s">
        <v>283</v>
      </c>
      <c r="C22" s="298">
        <f>40000+20000</f>
        <v>60000</v>
      </c>
      <c r="D22" s="142"/>
      <c r="E22" s="142"/>
      <c r="F22" s="142"/>
      <c r="G22" s="142"/>
      <c r="H22" s="142"/>
      <c r="I22" s="143"/>
      <c r="J22" s="143"/>
    </row>
    <row r="23" spans="1:10" s="139" customFormat="1" ht="17.25" customHeight="1">
      <c r="A23" s="274"/>
      <c r="B23" s="275" t="s">
        <v>380</v>
      </c>
      <c r="C23" s="298">
        <v>25000</v>
      </c>
      <c r="D23" s="142"/>
      <c r="E23" s="142"/>
      <c r="F23" s="142"/>
      <c r="G23" s="142"/>
      <c r="H23" s="142"/>
      <c r="I23" s="143"/>
      <c r="J23" s="143"/>
    </row>
    <row r="24" spans="1:10" s="139" customFormat="1" ht="17.25" customHeight="1">
      <c r="A24" s="274"/>
      <c r="B24" s="275" t="s">
        <v>203</v>
      </c>
      <c r="C24" s="298">
        <v>40000</v>
      </c>
      <c r="D24" s="142"/>
      <c r="E24" s="142"/>
      <c r="F24" s="142"/>
      <c r="G24" s="142"/>
      <c r="H24" s="142"/>
      <c r="I24" s="143"/>
      <c r="J24" s="143"/>
    </row>
    <row r="25" spans="1:10" s="139" customFormat="1" ht="17.25" customHeight="1">
      <c r="A25" s="274"/>
      <c r="B25" s="275" t="s">
        <v>204</v>
      </c>
      <c r="C25" s="298">
        <f>500000+100000</f>
        <v>600000</v>
      </c>
      <c r="D25" s="142"/>
      <c r="E25" s="142"/>
      <c r="F25" s="142"/>
      <c r="G25" s="142"/>
      <c r="H25" s="142"/>
      <c r="I25" s="143"/>
      <c r="J25" s="143"/>
    </row>
    <row r="26" spans="1:10" s="139" customFormat="1" ht="30">
      <c r="A26" s="274"/>
      <c r="B26" s="422" t="s">
        <v>78</v>
      </c>
      <c r="C26" s="298">
        <v>1000</v>
      </c>
      <c r="D26" s="142"/>
      <c r="E26" s="142"/>
      <c r="F26" s="142"/>
      <c r="G26" s="142"/>
      <c r="H26" s="142"/>
      <c r="I26" s="143"/>
      <c r="J26" s="143"/>
    </row>
    <row r="27" spans="1:10" s="139" customFormat="1" ht="30">
      <c r="A27" s="274"/>
      <c r="B27" s="422" t="s">
        <v>20</v>
      </c>
      <c r="C27" s="298">
        <v>2000</v>
      </c>
      <c r="D27" s="142"/>
      <c r="E27" s="142"/>
      <c r="F27" s="142"/>
      <c r="G27" s="142"/>
      <c r="H27" s="142"/>
      <c r="I27" s="143"/>
      <c r="J27" s="143"/>
    </row>
    <row r="28" spans="1:10" s="139" customFormat="1" ht="16.5" customHeight="1">
      <c r="A28" s="274"/>
      <c r="B28" s="275" t="s">
        <v>23</v>
      </c>
      <c r="C28" s="298">
        <v>14000</v>
      </c>
      <c r="D28" s="142"/>
      <c r="E28" s="142"/>
      <c r="F28" s="142"/>
      <c r="G28" s="142"/>
      <c r="H28" s="142"/>
      <c r="I28" s="143"/>
      <c r="J28" s="143"/>
    </row>
    <row r="29" spans="1:10" s="139" customFormat="1" ht="30">
      <c r="A29" s="274"/>
      <c r="B29" s="422" t="s">
        <v>559</v>
      </c>
      <c r="C29" s="298">
        <v>6000</v>
      </c>
      <c r="D29" s="142"/>
      <c r="E29" s="142"/>
      <c r="F29" s="142"/>
      <c r="G29" s="142"/>
      <c r="H29" s="142"/>
      <c r="I29" s="143"/>
      <c r="J29" s="143"/>
    </row>
    <row r="30" spans="1:10" s="139" customFormat="1" ht="30">
      <c r="A30" s="274"/>
      <c r="B30" s="422" t="s">
        <v>560</v>
      </c>
      <c r="C30" s="298">
        <f>10000+14869</f>
        <v>24869</v>
      </c>
      <c r="D30" s="142"/>
      <c r="E30" s="142"/>
      <c r="F30" s="142"/>
      <c r="G30" s="142"/>
      <c r="H30" s="142"/>
      <c r="I30" s="143"/>
      <c r="J30" s="143"/>
    </row>
    <row r="31" spans="1:10" s="139" customFormat="1" ht="30">
      <c r="A31" s="274"/>
      <c r="B31" s="422" t="s">
        <v>561</v>
      </c>
      <c r="C31" s="298">
        <v>35000</v>
      </c>
      <c r="D31" s="142"/>
      <c r="E31" s="142"/>
      <c r="F31" s="142"/>
      <c r="G31" s="142"/>
      <c r="H31" s="142"/>
      <c r="I31" s="143"/>
      <c r="J31" s="143"/>
    </row>
    <row r="32" spans="1:10" s="139" customFormat="1" ht="17.25" customHeight="1">
      <c r="A32" s="276" t="s">
        <v>216</v>
      </c>
      <c r="B32" s="277" t="s">
        <v>355</v>
      </c>
      <c r="C32" s="299">
        <f>SUM(C33:C33)</f>
        <v>70000</v>
      </c>
      <c r="D32" s="142"/>
      <c r="E32" s="142"/>
      <c r="F32" s="142"/>
      <c r="G32" s="142"/>
      <c r="H32" s="142"/>
      <c r="I32" s="143"/>
      <c r="J32" s="143"/>
    </row>
    <row r="33" spans="1:10" s="139" customFormat="1" ht="15.75" customHeight="1" thickBot="1">
      <c r="A33" s="274"/>
      <c r="B33" s="300" t="s">
        <v>280</v>
      </c>
      <c r="C33" s="301">
        <f>50000+20000</f>
        <v>70000</v>
      </c>
      <c r="D33" s="142"/>
      <c r="E33" s="142"/>
      <c r="F33" s="142"/>
      <c r="G33" s="142"/>
      <c r="H33" s="142"/>
      <c r="I33" s="143"/>
      <c r="J33" s="143"/>
    </row>
    <row r="34" spans="1:10" s="139" customFormat="1" ht="16.5" thickBot="1">
      <c r="A34" s="302" t="s">
        <v>217</v>
      </c>
      <c r="B34" s="303" t="s">
        <v>436</v>
      </c>
      <c r="C34" s="304">
        <f>SUM(C35:C36)</f>
        <v>84000</v>
      </c>
      <c r="D34" s="142"/>
      <c r="E34" s="142"/>
      <c r="F34" s="142"/>
      <c r="G34" s="142"/>
      <c r="H34" s="142"/>
      <c r="I34" s="143"/>
      <c r="J34" s="143"/>
    </row>
    <row r="35" spans="1:10" s="139" customFormat="1" ht="30">
      <c r="A35" s="305" t="s">
        <v>437</v>
      </c>
      <c r="B35" s="306" t="s">
        <v>438</v>
      </c>
      <c r="C35" s="307">
        <v>42000</v>
      </c>
      <c r="D35" s="142"/>
      <c r="E35" s="142"/>
      <c r="F35" s="142"/>
      <c r="G35" s="142"/>
      <c r="H35" s="142"/>
      <c r="I35" s="143"/>
      <c r="J35" s="143"/>
    </row>
    <row r="36" spans="1:10" s="139" customFormat="1" ht="30.75" thickBot="1">
      <c r="A36" s="308" t="s">
        <v>439</v>
      </c>
      <c r="B36" s="278" t="s">
        <v>440</v>
      </c>
      <c r="C36" s="309">
        <v>42000</v>
      </c>
      <c r="D36" s="142"/>
      <c r="E36" s="142"/>
      <c r="F36" s="142"/>
      <c r="G36" s="142"/>
      <c r="H36" s="142"/>
      <c r="I36" s="143"/>
      <c r="J36" s="143"/>
    </row>
    <row r="37" spans="1:10" s="139" customFormat="1" ht="19.5" customHeight="1" thickBot="1">
      <c r="A37" s="310" t="s">
        <v>238</v>
      </c>
      <c r="B37" s="311" t="s">
        <v>240</v>
      </c>
      <c r="C37" s="312">
        <f>SUM(C10+C15-C20)</f>
        <v>0</v>
      </c>
      <c r="D37" s="142"/>
      <c r="E37" s="142"/>
      <c r="F37" s="142"/>
      <c r="G37" s="142"/>
      <c r="H37" s="142"/>
      <c r="I37" s="143"/>
      <c r="J37" s="143"/>
    </row>
    <row r="38" spans="1:10" s="139" customFormat="1" ht="17.25" customHeight="1">
      <c r="A38" s="267" t="s">
        <v>215</v>
      </c>
      <c r="B38" s="268" t="s">
        <v>243</v>
      </c>
      <c r="C38" s="265">
        <v>0</v>
      </c>
      <c r="D38" s="142"/>
      <c r="E38" s="142"/>
      <c r="F38" s="142"/>
      <c r="G38" s="142"/>
      <c r="H38" s="142"/>
      <c r="I38" s="143"/>
      <c r="J38" s="143"/>
    </row>
    <row r="39" spans="1:10" s="139" customFormat="1" ht="17.25" customHeight="1">
      <c r="A39" s="269" t="s">
        <v>216</v>
      </c>
      <c r="B39" s="270" t="s">
        <v>242</v>
      </c>
      <c r="C39" s="266">
        <v>20000</v>
      </c>
      <c r="D39" s="142"/>
      <c r="E39" s="142"/>
      <c r="F39" s="142"/>
      <c r="G39" s="142"/>
      <c r="H39" s="142"/>
      <c r="I39" s="143"/>
      <c r="J39" s="143"/>
    </row>
    <row r="40" spans="1:10" s="139" customFormat="1" ht="17.25" customHeight="1" thickBot="1">
      <c r="A40" s="313" t="s">
        <v>217</v>
      </c>
      <c r="B40" s="314" t="s">
        <v>241</v>
      </c>
      <c r="C40" s="315">
        <v>20000</v>
      </c>
      <c r="D40" s="142"/>
      <c r="E40" s="142"/>
      <c r="F40" s="142"/>
      <c r="G40" s="142"/>
      <c r="H40" s="142"/>
      <c r="I40" s="143"/>
      <c r="J40" s="143"/>
    </row>
    <row r="41" spans="1:10" ht="15">
      <c r="A41" s="7"/>
      <c r="B41" s="7"/>
      <c r="C41" s="7"/>
      <c r="D41" s="7"/>
      <c r="E41" s="7"/>
      <c r="F41" s="7"/>
      <c r="G41" s="7"/>
      <c r="H41" s="7"/>
      <c r="I41" s="8"/>
      <c r="J41" s="8"/>
    </row>
    <row r="42" spans="1:10" ht="15">
      <c r="A42" s="7"/>
      <c r="B42" s="7"/>
      <c r="C42" s="78"/>
      <c r="D42" s="7"/>
      <c r="E42" s="7"/>
      <c r="F42" s="7"/>
      <c r="G42" s="7"/>
      <c r="H42" s="7"/>
      <c r="I42" s="8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8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8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8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8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</sheetData>
  <mergeCells count="2">
    <mergeCell ref="A5:C5"/>
    <mergeCell ref="A6:C6"/>
  </mergeCells>
  <printOptions/>
  <pageMargins left="1.02" right="0.75" top="0.37" bottom="0.53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2009-03-30T11:29:59Z</cp:lastPrinted>
  <dcterms:created xsi:type="dcterms:W3CDTF">1998-12-09T13:02:10Z</dcterms:created>
  <dcterms:modified xsi:type="dcterms:W3CDTF">2009-03-30T11:43:29Z</dcterms:modified>
  <cp:category/>
  <cp:version/>
  <cp:contentType/>
  <cp:contentStatus/>
</cp:coreProperties>
</file>