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0920" windowHeight="4980" tabRatio="774" activeTab="0"/>
  </bookViews>
  <sheets>
    <sheet name="Zał. nr 2" sheetId="1" r:id="rId1"/>
    <sheet name="Zał. nr 3" sheetId="2" r:id="rId2"/>
    <sheet name="Zał. 3a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</sheets>
  <definedNames>
    <definedName name="_xlnm.Print_Titles" localSheetId="2">'Zał. 3a'!$10:$13</definedName>
    <definedName name="_xlnm.Print_Titles" localSheetId="1">'Zał. nr 3'!$10:$13</definedName>
    <definedName name="_xlnm.Print_Titles" localSheetId="3">'Zał. nr 4'!$7:$13</definedName>
    <definedName name="_xlnm.Print_Titles" localSheetId="4">'Zał. nr 5'!$8:$11</definedName>
    <definedName name="_xlnm.Print_Titles" localSheetId="6">'Zał. nr 7'!$A:$B</definedName>
    <definedName name="_xlnm.Print_Titles" localSheetId="7">'Zał. nr 8'!$A:$B</definedName>
  </definedNames>
  <calcPr fullCalcOnLoad="1"/>
</workbook>
</file>

<file path=xl/sharedStrings.xml><?xml version="1.0" encoding="utf-8"?>
<sst xmlns="http://schemas.openxmlformats.org/spreadsheetml/2006/main" count="1062" uniqueCount="446">
  <si>
    <t>**</t>
  </si>
  <si>
    <t xml:space="preserve">* </t>
  </si>
  <si>
    <t>A Środki i dotacje otrzymane od innych jst oraz innych jednostek zaliczanych do sektora finansów publicznych</t>
  </si>
  <si>
    <t xml:space="preserve"> - środki bużetu powiatu 30.000-zł,</t>
  </si>
  <si>
    <t xml:space="preserve"> - śrdoki gminy miejskiej Iława 35.580,-zł.</t>
  </si>
  <si>
    <t>**     środki własne j.s.t., współfinansowanie z budżetu państwa oraz inne (poz.1.2 kol.12 - 65.580,-zł, w tym:</t>
  </si>
  <si>
    <t>Miasto Iława - 373.326,-zł</t>
  </si>
  <si>
    <t>Działanie 9.2 Podniesienie atrakcyjnosci i jakości szkolnictwa zawodowego</t>
  </si>
  <si>
    <t>Zajęcia pozalekcyjne dla uczniów szkół zawodowych powiatu iławskiego - ZSR Kisielice</t>
  </si>
  <si>
    <t>"Aktywizacja zawodowa i społeczna osób zagrożonych wykluczeniem społecznym z powiatu iławskiego - PCPR Iława</t>
  </si>
  <si>
    <t>"Wspólny cel - Wspólny rozwój" - Powiatowy Urząd Pracy</t>
  </si>
  <si>
    <t xml:space="preserve">Program Operacyjny Kapitał Ludzki </t>
  </si>
  <si>
    <t>Priorytet 3. Infrastruktura społeczna</t>
  </si>
  <si>
    <t>Działanie 3.1  Inwestycjew infrastrukturę edukacyjną</t>
  </si>
  <si>
    <t>Dział 801 Rozdział 80140</t>
  </si>
  <si>
    <t>Powiat Giżycko - 13.803,-zł</t>
  </si>
  <si>
    <t>Pomoc finansowa z Gminy Miejskiej Iława na realizację zadania publicznego na utrzymanie Młodzieżowej Orkiestry Dętej przy Zespole Szkół im. Bohaterów Września 1939 Roku</t>
  </si>
  <si>
    <t>Młodzież z przyszłością. Wyrównywanie szans edukacyjnych uczniów w Powiecie Iławskim - ZS Lubawa</t>
  </si>
  <si>
    <t>Młodość-start! Wyrównywanie szans młodziezy na współczesnym rynku pracy - ZS Susz</t>
  </si>
  <si>
    <t>WYDATKI OGÓŁEM</t>
  </si>
  <si>
    <t>Wydatki bieżące, w tym:</t>
  </si>
  <si>
    <t>Wydatki inwestycyjne, w tym:</t>
  </si>
  <si>
    <t>KLASYFIKACJA</t>
  </si>
  <si>
    <t>Dofinansowanie dla Samorządu Województwa Warmińsko-Mazurskiego na realizację zadań związanych z funkcjonowaniem Biura Regionalnego w Brukseli</t>
  </si>
  <si>
    <t>Prowadzenie Biblioteki Powiatowej przez Miejską Bibliotekę Publiczną w Iławie działającą w strukturze Iławskiego Centrum Kultury w Iławie</t>
  </si>
  <si>
    <t>Lata realizacji</t>
  </si>
  <si>
    <t>Nakłady poniesione do 31.XII.2004</t>
  </si>
  <si>
    <t>Pozostałe nakłady do poniesienia (8+12+13+14)</t>
  </si>
  <si>
    <t>Rok 2006</t>
  </si>
  <si>
    <t>Kredyty i pożyczki</t>
  </si>
  <si>
    <t>PZD Iława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</si>
  <si>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</si>
  <si>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</si>
  <si>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</si>
  <si>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</si>
  <si>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</si>
  <si>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</si>
  <si>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</si>
  <si>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</si>
  <si>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</si>
  <si>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 xml:space="preserve">                     Załącznik Nr 8</t>
  </si>
  <si>
    <t xml:space="preserve">                     Załącznik Nr 5</t>
  </si>
  <si>
    <t xml:space="preserve">                                      z dn 19 sierpnia 2009roku</t>
  </si>
  <si>
    <t>§ 0920 - Pozostałe odsetki</t>
  </si>
  <si>
    <t>Dotacja dla budżetu Miasta Katowice na pokrycie kosztów utrzymania dziecka w rodzinie zastępczej</t>
  </si>
  <si>
    <t>§ 4260 - Zakup energii</t>
  </si>
  <si>
    <t xml:space="preserve">                     Załącznik Nr 3</t>
  </si>
  <si>
    <t xml:space="preserve"> </t>
  </si>
  <si>
    <t xml:space="preserve">                     Załącznik Nr 4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</si>
  <si>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</si>
  <si>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</si>
  <si>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</si>
  <si>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</si>
  <si>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</si>
  <si>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</si>
  <si>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</si>
  <si>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</si>
  <si>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</si>
  <si>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</si>
  <si>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</si>
  <si>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</si>
  <si>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</si>
  <si>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</si>
  <si>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</si>
  <si>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</si>
  <si>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</si>
  <si>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</si>
  <si>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</si>
  <si>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</si>
  <si>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</si>
  <si>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</si>
  <si>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</si>
  <si>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</si>
  <si>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</si>
  <si>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1.3</t>
  </si>
  <si>
    <t>Wydatki bieżące razem:</t>
  </si>
  <si>
    <t>Ogółem (1+2)</t>
  </si>
  <si>
    <t>1.4</t>
  </si>
  <si>
    <t>DOCHODY OGÓŁEM</t>
  </si>
  <si>
    <t>SPŁATA ZOBOWIĄZAŃ (A+B+C+D)</t>
  </si>
  <si>
    <t>A.</t>
  </si>
  <si>
    <t xml:space="preserve">1. </t>
  </si>
  <si>
    <t>spłata pożyczek, kredytów krajowych</t>
  </si>
  <si>
    <t>- materiały</t>
  </si>
  <si>
    <t>Dział 600 Rozdział 60014</t>
  </si>
  <si>
    <t xml:space="preserve">                     Załącznik Nr 6</t>
  </si>
  <si>
    <t>Dotacje ogółem</t>
  </si>
  <si>
    <t>Pochodne od wynagrodzeń</t>
  </si>
  <si>
    <t>Wynagrodzenia</t>
  </si>
  <si>
    <t xml:space="preserve">Dochody i wydatki związane z realizacją zadań realizowanych </t>
  </si>
  <si>
    <t>Powiatowe Centrum Kształcenia Praktycznego w Iławie</t>
  </si>
  <si>
    <t>2.8</t>
  </si>
  <si>
    <t>Nowe umiejętności nowe szanse – wsparcie szkolnictwa zawodowego w Powiatowym Centrum Kształcenia Praktycznego w Iławie</t>
  </si>
  <si>
    <t>1.8</t>
  </si>
  <si>
    <t>Modernizacja bazy kształcenia zawodowego Powiatowego Centrum Kształcenia Praktycznego w Iławie</t>
  </si>
  <si>
    <t>środki pochodzące z innych źródeł</t>
  </si>
  <si>
    <t>Przelewy redystrycyjne</t>
  </si>
  <si>
    <t>3.1.</t>
  </si>
  <si>
    <t>Odpis 10% od przychodów własnych dla funduszu centralnego</t>
  </si>
  <si>
    <t>3.2.</t>
  </si>
  <si>
    <t>Odpis 10% od przychodów własnych dla funduszu wojewódzkiego</t>
  </si>
  <si>
    <t>Przebudowa drogi powiatowej Nr 1910N Susz-Kisielice na odcinkach 0+270-0+430,2+006-5+906,6+306-6+806,10+646-11+046,11+346-12+746,13+146-13+486,13+600-4+860</t>
  </si>
  <si>
    <t>Przebudowa drogi powiatowej Nr 1222N Lubawa-Rumienica – I etap długości 2,65 km</t>
  </si>
  <si>
    <t>DŁUG/DOCHODY (%) (art.. 170 ust.1 u.f.p.))</t>
  </si>
  <si>
    <t>Spłaty kredytów, pozyczek do dochodów (%) (art.. 169 ust.1 u.f.p.))</t>
  </si>
  <si>
    <t>DŁUG/DOCHODY (%) (art.. 170 ust.3 u.f.p.))</t>
  </si>
  <si>
    <t>Spłaty kredytów, pozyczek do dochodów (%) (art.. 169 ust.3 u.f.p.))</t>
  </si>
  <si>
    <t>Gmina Miejska Lubawa - 36.200,-</t>
  </si>
  <si>
    <t>z tego</t>
  </si>
  <si>
    <t>Partycypacja w kosztach utrzymania placówki opiekuńczo-wychowawczej w Kisielicach</t>
  </si>
  <si>
    <t>Partycypacja w kosztach utrzymania placówki opiekuńczo-wychowawczej w Lubawie</t>
  </si>
  <si>
    <t>Powiat Szczytno -           7.006,-zł</t>
  </si>
  <si>
    <t>A</t>
  </si>
  <si>
    <t>Priorytet 5. Infrastruktura transportowa regionalna i lokalna</t>
  </si>
  <si>
    <t>Zakup usług pozostałych</t>
  </si>
  <si>
    <t>Składki na ubezpieczenie społeczne</t>
  </si>
  <si>
    <t>Składki na Fundusz Pracy</t>
  </si>
  <si>
    <t>Wynagrodzenia bezosobowe</t>
  </si>
  <si>
    <t>Różne opłaty i składki</t>
  </si>
  <si>
    <t>Zakup materiałów i wyposażenia</t>
  </si>
  <si>
    <t>Klucz do sukcesu</t>
  </si>
  <si>
    <t>Inwestujemy w młodzież</t>
  </si>
  <si>
    <t>Zakup środków żywności</t>
  </si>
  <si>
    <t>Wydatki na zakupy inwestycyjne jednostek budżetowych</t>
  </si>
  <si>
    <t>Wykonanie 2008</t>
  </si>
  <si>
    <t xml:space="preserve">                                      z dnia 19 sierpnia 2009roku</t>
  </si>
  <si>
    <t xml:space="preserve">                     Załącznik Nr 3a</t>
  </si>
  <si>
    <t>Pomoc finansowa na realizację zadania publicznego polegajacego na prowadzeniu Centrum Organizacji Porządkowych</t>
  </si>
  <si>
    <t>Dotacja celowa z budżetu na finansowanie lub dofinansowanie zadań zleconych do realizacji stowarzyszeniom</t>
  </si>
  <si>
    <t>Gmina Iława - 3.600,-zł</t>
  </si>
  <si>
    <t>Miasto Lubawa - 3.600,-zł</t>
  </si>
  <si>
    <t>Miasto Kisielicea - 1.200,-zł</t>
  </si>
  <si>
    <t>Działanie 5.2 Infrastruktura transportowa służąca rozwojowi lokalnemu</t>
  </si>
  <si>
    <t>2011 r.</t>
  </si>
  <si>
    <t>2012 r.</t>
  </si>
  <si>
    <t>2013 r.</t>
  </si>
  <si>
    <t>Przebudowa drogi powiatowej nr 1329 w Iławie, ulicy Dąbrowskiego i ul. Zalewskiej</t>
  </si>
  <si>
    <t>Rok 2010</t>
  </si>
  <si>
    <t>§ 4700 - Szkolenia pracowników niebędących członkami korpusu służby cywilnej</t>
  </si>
  <si>
    <t>§ 4740 - Zakup materiałów papierniczych do sprzętu drukarskiego i urządzeń kserograficznych</t>
  </si>
  <si>
    <t>§ 4750 - Zakup akcesoriów komputerowych, w tym programów i licencji</t>
  </si>
  <si>
    <t>Komenda Powiatowa Państwowej Straży Pożarnej</t>
  </si>
  <si>
    <t xml:space="preserve">Nazwa zadania inwestycyjnego </t>
  </si>
  <si>
    <t>Zakup usług remontowych</t>
  </si>
  <si>
    <t>Wydatki inwestycyjne jednostek budżetowych</t>
  </si>
  <si>
    <t>Wynagrodzenia osobowe pracowników</t>
  </si>
  <si>
    <t>Świadczenia społeczne</t>
  </si>
  <si>
    <t>2.5</t>
  </si>
  <si>
    <t>2.6</t>
  </si>
  <si>
    <t>2.7</t>
  </si>
  <si>
    <t>Przebudowa drogi powiatowej Nr 1231N Gierłoż-Zielkowo-Byszwałd w miejsowości Byszwałd, gmina Lubawa</t>
  </si>
  <si>
    <t>Przebudowa drogi powiatowej Nr 1231N Gierłoż-Zielkowo-Byszwałd w miejsowości Byszwałd, gmina Lubawa (2007-2010)</t>
  </si>
  <si>
    <t xml:space="preserve">Przebudowa drogi powiatowej Nr 1208N Ogrodzieniec-Gardzień odcinek km 0+000-5+478 Ogrodzieniec-Trupel </t>
  </si>
  <si>
    <t>Przebudowa drogi powiatowej Nr 1208N Ogrodzieniec-Gardzień odcinek km 0+000-5+478 Ogrodzieniec-Trupel  (2005-2011)</t>
  </si>
  <si>
    <t>Program Operacyjny Kapitał Ludzki - ZSR KISIELICE</t>
  </si>
  <si>
    <t>Kredyty zaciągnięte w danym roku budżetowym:</t>
  </si>
  <si>
    <t>IX.1</t>
  </si>
  <si>
    <t>IX.2</t>
  </si>
  <si>
    <t>X.1</t>
  </si>
  <si>
    <t>X.2</t>
  </si>
  <si>
    <t>Plan na rok 2009</t>
  </si>
  <si>
    <t>Wykonanie 2008 r.</t>
  </si>
  <si>
    <t xml:space="preserve">                     Załącznik Nr 7</t>
  </si>
  <si>
    <t>Wykonanie</t>
  </si>
  <si>
    <t xml:space="preserve"> na podstawie porozumień (umów) między jednostkami samorządu terytorialnego w 2009 r.</t>
  </si>
  <si>
    <t>Gmina Miejska Iława -      32.000,-</t>
  </si>
  <si>
    <t>Gmina Kisielice: 9.760,-zł</t>
  </si>
  <si>
    <t>Powiat Nidzica - 42.556,-zł</t>
  </si>
  <si>
    <t>Powiat Malborski - 7.906,-zł</t>
  </si>
  <si>
    <t>Powiat Kwidzyński -  7.906,-zł</t>
  </si>
  <si>
    <t>Powiat Ostróda-  7.906,-zł</t>
  </si>
  <si>
    <t>Zintegrowany system promocji turystycznej obszaru Kanału Elbląskiego</t>
  </si>
  <si>
    <t>Gmina Miejska Iława - 30.000 zł</t>
  </si>
  <si>
    <t>Gmina Wiejska Iława - 25.000 zł</t>
  </si>
  <si>
    <t>Gmina Miejska Zalewo - 15.000 zł</t>
  </si>
  <si>
    <t>Miasto Toruń -      4.165,-zł</t>
  </si>
  <si>
    <t>Powiat Grodzki Elbląg -  35.575,-zł</t>
  </si>
  <si>
    <t>Powiat Ostródzki -         55.339,-zł</t>
  </si>
  <si>
    <t>Powiat Gołdap - 22.799,-zł</t>
  </si>
  <si>
    <t>Gmina Miejska Zalewo: 31.672,-zł</t>
  </si>
  <si>
    <t>Plan na 2009 r.</t>
  </si>
  <si>
    <t>§ 4370 - Opłata z tytułu zakupu usług telekomunikacyjnych telefoni stacjonarnej</t>
  </si>
  <si>
    <t>Powiat Wyszków - 27.497,-zł</t>
  </si>
  <si>
    <t>§ 4430 - Różne opłaty i składki</t>
  </si>
  <si>
    <t>Wydatki inwestycyjne jednoroczne w 2009 r.</t>
  </si>
  <si>
    <t>Montaż instalacji monitorującej</t>
  </si>
  <si>
    <t>Sieć bezprzewodowa PIAP (Urzad)</t>
  </si>
  <si>
    <t>Agregat prądotwórczy dużej mocy (20KW) do budynku Starostwa</t>
  </si>
  <si>
    <t>POWIATOWE URZĘDY PRACY</t>
  </si>
  <si>
    <t>Powiatowy Urząd Pracy</t>
  </si>
  <si>
    <t>Znakowanie turystyczne regionu Warmii i Mazur -12.470,-zł</t>
  </si>
  <si>
    <t>Porozumienie z Samorządem Województwa Warmińsko-Mazurskiego</t>
  </si>
  <si>
    <t>Zintegrowany system promocji turystycznej obszaru Kanału Elbląskiego "Program rozwoju turystuki w obszarze Kanału Elbląskiego i Pojezierza Iławskiego" - 88.800,-zł</t>
  </si>
  <si>
    <t xml:space="preserve">Zakup kserokopiarek </t>
  </si>
  <si>
    <t>Starostwo Powiatowe</t>
  </si>
  <si>
    <t>Zakup serwera</t>
  </si>
  <si>
    <t>Rok 2011</t>
  </si>
  <si>
    <t>Rok budżetowy 2009 (6+7+8+9)</t>
  </si>
  <si>
    <t>B</t>
  </si>
  <si>
    <t>Budowa pełnowymiarowej Sali gimnastycznej przy Zespole Szkół im. Konstytucji 3 Maja w Iławie (2008-2010)</t>
  </si>
  <si>
    <t>Przebudowa ulicy Królowej Jadwigi od ulicy Niepodległości oraz skrzyżowanie ulicy Królowej Jadwigi i ulicy Sobieskiego w Iławie (2008-2009)</t>
  </si>
  <si>
    <t>Przebudowa drogi powiatowej nr 1329 w Iławie, ulicy Dąbrowskiego i ul. Zalewskiej (2007-2012)</t>
  </si>
  <si>
    <t>Zespół Szkół im. Konstytucji                       3 Maja w Iławie</t>
  </si>
  <si>
    <t>Miasto Gmina Susz - 385.000,-</t>
  </si>
  <si>
    <t>Miasto Gmina Kisielice - 297.500,-</t>
  </si>
  <si>
    <t>Umowa o wsparcie finansowe z jst na współudział w finansowaniu dróg powiatowych w ramach Narodowego Programu Przebudowy Dróg Lokalnych 2008-2001</t>
  </si>
  <si>
    <t>Przebudowa drogi powiatowej nr 1329 w Iławie, ulicy Dąbrowskiego i ul. Zalewskiej - Miasto Iława</t>
  </si>
  <si>
    <t>Przebudowa ulicy Królowej Jadwigi od ulicy Niepodległości oraz skrzyżowanie ulicy Królowej Jadwigi i ulicy Sobieskiego w Iławie - Miasto Iława</t>
  </si>
  <si>
    <t>Poprawa dostępności komunikacyjnej miasta - przebudowa drogi pow. ul. Rzepnikowskiego w Lubawie - Miasto Lubawa</t>
  </si>
  <si>
    <t xml:space="preserve">Umowa o wsparcie finansowe z jst na współudział w finansowaniu bieżącym dróg powiatowych </t>
  </si>
  <si>
    <t>Umowa o wsparcie finansowe z jst na współudział w finansowaniu inwestycyjnym dróg powiatowych z wykorzystaniem środków z UE</t>
  </si>
  <si>
    <t>Projekt, wykonanie i montaż instalacji elektrycznej</t>
  </si>
  <si>
    <t>Zakup samochodu pożarniczego ciężkiego ratowniczo-gaśniczego</t>
  </si>
  <si>
    <t>Zakup klimatyzacji do serwerowni</t>
  </si>
  <si>
    <t>Źródła sfinansowania deficytu lub rozdysponowanie                                                           nadwyżki budżetowej w 2009 r.</t>
  </si>
  <si>
    <t>*  A  Dotacje i środki z budżetu państwa (np.. Od Wojewody, MEN, UKSiS)</t>
  </si>
  <si>
    <t xml:space="preserve">   B  Środki i dotacje otrzymane od innych jst oraz innych jednostek zaliczanych do sektora finansów publicznych</t>
  </si>
  <si>
    <t xml:space="preserve">   C  Inne źródła</t>
  </si>
  <si>
    <t>Jednostka organizacyjna realizująca zadanie lub koordynująca program</t>
  </si>
  <si>
    <t>Wydatki razem (9+13)***</t>
  </si>
  <si>
    <t>Regionalny Program Operacyjny Warmia i Mazury na lata 2007-2013</t>
  </si>
  <si>
    <t>1.2</t>
  </si>
  <si>
    <t>Działanie 5.1 Rozbudowa i modernizacja infrastruktury transportowej warunkujacej rozwój regionalny</t>
  </si>
  <si>
    <t>Poprawa dostępności komunikacyjnej miasta - przebudowa drogi pow. ul. Rzepnikowskiego w Lubawie</t>
  </si>
  <si>
    <t>1.5</t>
  </si>
  <si>
    <t>Działanie 5.1 Regionalny Program Operacyjny Warmia i Mazury 2007-2013 - Wzrost potencjału turystycznego</t>
  </si>
  <si>
    <t>Przebudowa ulicy Królowej Jadwigi od ulicy Niepodległości oraz skrzyżowanie ulicy Królowej Jadwigi i ulicy Sobieskiego w Iławie</t>
  </si>
  <si>
    <t>§ 4360 - Opłaty z tytułu zakupu usług telekomunikacyjnych telefonii komórkowej</t>
  </si>
  <si>
    <t>1.6</t>
  </si>
  <si>
    <t>Priorytet 2. Turystyka</t>
  </si>
  <si>
    <t>Gmina Wiejska Lubawa: 11.580,-zł</t>
  </si>
  <si>
    <t>Działanie 2.1 Regionalny Program Operacyjny Warmia i Mazury 2007-2013 - Wzrost potencjału turystycznego</t>
  </si>
  <si>
    <t>Znakowanie turystyczne regionu Warmii i Mazur</t>
  </si>
  <si>
    <t>Dział 630 Rozdział 63003</t>
  </si>
  <si>
    <t>1.7</t>
  </si>
  <si>
    <t xml:space="preserve">Program Operacyjny dla wykorzystania środków finansowych w ramach Mechanizmu Finansowego Europejskiego Obszaru Gospodarczego oraz Norweskiego Mechanizmu Finansowego </t>
  </si>
  <si>
    <t>Priorytet: 5. Opieka zdrowotna i opieka nad dzieckiem</t>
  </si>
  <si>
    <t>„Poprawa opieki perinatalnej gwarancją zdrowia społeczności lokalnej powiatu iławskiego”</t>
  </si>
  <si>
    <t>Dział 851 Rozdział 85111</t>
  </si>
  <si>
    <t>2.1</t>
  </si>
  <si>
    <t>2.2</t>
  </si>
  <si>
    <t>Program Operacyjny Kapitał Ludzki</t>
  </si>
  <si>
    <t>Priorytet IX Rozwój wykształcenia i kompetencji w regionach</t>
  </si>
  <si>
    <t>Działanie 9.1 Wyrównywanie szans edukacyjnych i zapewnienie wysokiej jakości usług edukacyjnych świadczonych w systemie oświaty</t>
  </si>
  <si>
    <t>"Uwierz w siebie. Zajęcia pozalekcyjne i pozaszkolne dla uczniów z Zespołu Placówek Szkolno-Wychowawczych w Iławie"</t>
  </si>
  <si>
    <t>Dział 853 Rozdział 85395</t>
  </si>
  <si>
    <t>2.3</t>
  </si>
  <si>
    <t>Priorytet VI Rynek Pracy otwarty dla wszystkich</t>
  </si>
  <si>
    <t>Działanie 6.1 Poprawa dostępności do zatrudnienia oraz wspieranie aktywności zawodowej w regionie</t>
  </si>
  <si>
    <t>2.4</t>
  </si>
  <si>
    <t>Priorytet VII Promocja integracji społecznej</t>
  </si>
  <si>
    <t>Działanie 7.1 Rozwój i upowszechnianie aktywnej integracji</t>
  </si>
  <si>
    <t>*      wydatki obejmują wydatki bieżące i majątkowe (dotyczące inwestycji rocznych i ujętych w wieloletnim programie inwestycyjnym)</t>
  </si>
  <si>
    <t>Projekt i budowa chodnika dł. 650 m w miejscowości Grabowo do szkoły - droga powiatowa Nr 1214N Kałduny-Rożental-Wałdyki (2007-2011)</t>
  </si>
  <si>
    <t>Poprawa dostępności komunikacyjnej miasta - przebudowa drogi pow. ul. Rzepnikowskiego w Lubawie (2007-2010)</t>
  </si>
  <si>
    <t>Projekt i przebudowa drogi powiatowej Nr 1214N Kałduny-Rożental-Wałdyki na odcinku od drogi krajowej Nr 16 o długości 3,1 km (2009-2011)</t>
  </si>
  <si>
    <t>z tego: 2009r.</t>
  </si>
  <si>
    <t>Zintegrowany system promocji turystycznej obszaru Kanału Elbląskiego "Program rozwoju turystuki w obszarze Kanału Elbląskiego i Pojezierza Iławskiego</t>
  </si>
  <si>
    <t>Działanie 2.2  Wzrost potencjału turystycznego</t>
  </si>
  <si>
    <t>Miasto Lubawa - 446.664,-zł</t>
  </si>
  <si>
    <t>Gmina Miejska Lubawa - 232.000,-</t>
  </si>
  <si>
    <t>Limity wydatków na wieloletnie programy inwestycyjne w latach 2009-2011</t>
  </si>
  <si>
    <t>Zakup kosiarki bijakowej</t>
  </si>
  <si>
    <t>Zakup kserokopiarki</t>
  </si>
  <si>
    <t>ZSR Kisielice</t>
  </si>
  <si>
    <t>dotacje</t>
  </si>
  <si>
    <t>Wydatki ogółem (7+11)</t>
  </si>
  <si>
    <t xml:space="preserve">Całoroczne utrzymanie dróg powiatowych w miastach, w tym: </t>
  </si>
  <si>
    <t>Gmina Susz -                   29.300,-</t>
  </si>
  <si>
    <t>Gmina Kisielice -              14.000,-</t>
  </si>
  <si>
    <t>Gmina Miejska Zalewo -  37.500,-</t>
  </si>
  <si>
    <t>Partycypacja w kosztach utrzymania placówki opiekuńczo-wychowawczej "Słoneczko" w Zalewie</t>
  </si>
  <si>
    <t>Dotacja na pokrycie kosztów utrzymania dziecka w rodzinie zastępczej</t>
  </si>
  <si>
    <t>Powiat Kwidzyński -      13.835,-zł</t>
  </si>
  <si>
    <t>Pokrywanie kosztów utrzymania dzieci i młodzieży z terenu naszego powiatu umieszczonych w placówkach opiekuńczo-wychowawczych na terenie innego powiatu</t>
  </si>
  <si>
    <t>Wydatki bieżące</t>
  </si>
  <si>
    <t>Nazwa</t>
  </si>
  <si>
    <t>Nazwa zadania inwestycyjnego okres realizacji (w latach)</t>
  </si>
  <si>
    <t>Łączne koszty finansowe</t>
  </si>
  <si>
    <t>11.</t>
  </si>
  <si>
    <t>12.</t>
  </si>
  <si>
    <t>Dochody własne jst</t>
  </si>
  <si>
    <t>środki pochodzące z innych źr*</t>
  </si>
  <si>
    <t>środki wymienione w art.. 5 ust. 1 pkt 2 i 3 u.f.p.</t>
  </si>
  <si>
    <t>PLANOWANE WYDATKI</t>
  </si>
  <si>
    <t>W TYM: ŹRÓDŁA FINANSOWANIA</t>
  </si>
  <si>
    <t>2009 r.</t>
  </si>
  <si>
    <t>2010 r.</t>
  </si>
  <si>
    <t>Dotacja dla budżetów innych powiatów na pokrycie kosztów utrzymania dzieci w rodzinie zastępczej</t>
  </si>
  <si>
    <t xml:space="preserve">Wydatki* na programy i projekty realizowane ze środków pochodzacych z funduszy strukturalnych i Funduszu Spójności </t>
  </si>
  <si>
    <t>w tym wydatki na wieloletnie programy inwestycyjne</t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</si>
  <si>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</si>
  <si>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</si>
  <si>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</si>
  <si>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</si>
  <si>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</si>
  <si>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</si>
  <si>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</si>
  <si>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</si>
  <si>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</si>
  <si>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</si>
  <si>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</si>
  <si>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</si>
  <si>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E.</t>
  </si>
  <si>
    <t>§</t>
  </si>
  <si>
    <t>Gmina Wiejska Lubawa - 100.000 zł</t>
  </si>
  <si>
    <t xml:space="preserve">Pomoc finansowa na realizację zadania w zakresie prowadzenia zajęć rekreacyjno-sportowych dla dzieci i młodzieży w zakresie żeglarstwa </t>
  </si>
  <si>
    <t>2.10</t>
  </si>
  <si>
    <t>2.11</t>
  </si>
  <si>
    <t>Gmina Miejska Iława - 36.800,-zł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</si>
  <si>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</si>
  <si>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</si>
  <si>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</si>
  <si>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</si>
  <si>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</si>
  <si>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</si>
  <si>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</si>
  <si>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</si>
  <si>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</si>
  <si>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</si>
  <si>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</si>
  <si>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</si>
  <si>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</si>
  <si>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</si>
  <si>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</si>
  <si>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OGÓŁEM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</si>
  <si>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</si>
  <si>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</si>
  <si>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</si>
  <si>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</si>
  <si>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</si>
  <si>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</si>
  <si>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</si>
  <si>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</si>
  <si>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</si>
  <si>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</si>
  <si>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</si>
  <si>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</si>
  <si>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</si>
  <si>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</si>
  <si>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</si>
  <si>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Zakup sprzętu komputerowego</t>
  </si>
  <si>
    <t>Powiatowe Centrum Kształcenia Praktycznego</t>
  </si>
  <si>
    <t>Adaptacja budynków dla potrzeb PUP Iława</t>
  </si>
  <si>
    <t>Adaptacja budynku celem utworzenia Centrum Aktywizacji Zawodowej</t>
  </si>
  <si>
    <t>Dostosowanie budynku Starostwa Powiatowego w Iławie do współczesnych standardów</t>
  </si>
  <si>
    <t>2.9</t>
  </si>
  <si>
    <t>Emisja obligacji</t>
  </si>
  <si>
    <t>Wykup obligacji</t>
  </si>
  <si>
    <t>STAN ZADŁUŻENIA POWIATU Z TYTUŁU KREDYTÓW NA 31/12 ROKU BUDŻETOWEGO</t>
  </si>
  <si>
    <t>Starostwo Powiatowe w Iławie</t>
  </si>
  <si>
    <t>KWOTY PRZYPADAJĄCEGO DO SPŁATY W DANYM ROKU BUDŻETOWYM RAT KREDYTÓW, WYKUP OBLIGACJI I ODSETEK ORAZ SPŁATA UDZIELONYCH PORĘCZEŃ W STOSUNKU DO DOCHODÓW</t>
  </si>
  <si>
    <t>Zadłużenie z tytułu kredytów, w tym:</t>
  </si>
  <si>
    <t>Gospodarki Zasobem Geodezyjnym i Kartograficznym</t>
  </si>
  <si>
    <t>§ 0830 - Wpływy z usług</t>
  </si>
  <si>
    <t>§ 4270 - Zakup usług remontowych</t>
  </si>
  <si>
    <t>§ 4300 - Zakup usług pozostałych</t>
  </si>
  <si>
    <t>Wyszczególnienie</t>
  </si>
  <si>
    <t>4.</t>
  </si>
  <si>
    <t>Dział</t>
  </si>
  <si>
    <t>Rozdział</t>
  </si>
  <si>
    <t>Treść</t>
  </si>
  <si>
    <t>Kwota</t>
  </si>
  <si>
    <t>Wydatki</t>
  </si>
  <si>
    <t>L.p.</t>
  </si>
  <si>
    <t>Przychody</t>
  </si>
  <si>
    <t>I.</t>
  </si>
  <si>
    <t>1.</t>
  </si>
  <si>
    <t>2.</t>
  </si>
  <si>
    <t>3.</t>
  </si>
  <si>
    <t>II.</t>
  </si>
  <si>
    <t>III.</t>
  </si>
  <si>
    <t>Wyemitowane papiery wartościowe</t>
  </si>
  <si>
    <t>5.</t>
  </si>
  <si>
    <t>Kredyty</t>
  </si>
  <si>
    <t>Pożyczki</t>
  </si>
  <si>
    <t>Przyjęte depozyty</t>
  </si>
  <si>
    <t>6.</t>
  </si>
  <si>
    <t>Pomoc finansowa na realizację zadania inwestycyjnego tj. zakup ciężkiego samochodu ratowniczo-gaśniczego</t>
  </si>
  <si>
    <t>Gmina Miejska Iława - 50.000 zł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</si>
  <si>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</si>
  <si>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</si>
  <si>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</si>
  <si>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</si>
  <si>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</si>
  <si>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</si>
  <si>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</si>
  <si>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</si>
  <si>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</si>
  <si>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Plan przychodów i wydatków Powiatowego Funduszu</t>
  </si>
  <si>
    <t>IV.</t>
  </si>
  <si>
    <t>Stan funduszy na początek roku, w tym:</t>
  </si>
  <si>
    <t>Stan funduszy na koniec roku, w tym:</t>
  </si>
  <si>
    <t>- zobowiązania</t>
  </si>
  <si>
    <t>- należności</t>
  </si>
  <si>
    <t>- środki pieniężne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</si>
  <si>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</si>
  <si>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</si>
  <si>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</si>
  <si>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</si>
  <si>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</si>
  <si>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</si>
  <si>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</si>
  <si>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</si>
  <si>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</si>
  <si>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</si>
  <si>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</si>
  <si>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</si>
  <si>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</si>
  <si>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</si>
  <si>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</si>
  <si>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</si>
  <si>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</si>
  <si>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</si>
  <si>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</si>
  <si>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</si>
  <si>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</si>
  <si>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</si>
  <si>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</si>
  <si>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</si>
  <si>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</si>
  <si>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</si>
  <si>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§ 2960 - Przelewy redystrybucyjne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</si>
  <si>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</si>
  <si>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</si>
  <si>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</si>
  <si>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</si>
  <si>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</si>
  <si>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</si>
  <si>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I+II</t>
  </si>
  <si>
    <t>RAZEM</t>
  </si>
  <si>
    <t>§ 6120  - wydatki na zakupy inwestycyjne funduszy celowych</t>
  </si>
  <si>
    <t>§ 4210 - Zakup materiałów i wyposażenia</t>
  </si>
  <si>
    <t>-</t>
  </si>
  <si>
    <t>Powiatowy Zarząd Dróg w Iławie</t>
  </si>
  <si>
    <t>9.</t>
  </si>
  <si>
    <t>10.</t>
  </si>
  <si>
    <t>Paragraf</t>
  </si>
  <si>
    <t>"Szkolna Akademia Sukcesu czyli co może zrobić dla swojej przyszłości uczeń niepełnosprawny intelektualnie"</t>
  </si>
  <si>
    <t>TRANSPORT I ŁĄCZNOŚĆ</t>
  </si>
  <si>
    <t>ADMINISTRACJA PUBLICZNA</t>
  </si>
  <si>
    <t>BEZPIECZEŃSTWO PUBLICZNE I OCHRONA PRZECIWPOŻAROWA</t>
  </si>
  <si>
    <t>W łącznej kwocie inwestycji uwzględnione są nakłady poniesione w roku 2007 (39.410,-zł), w roku 2008 (24.400,-zł) oraz nakłady do poniesienia w roku 2012 (1.684.029,-zł)</t>
  </si>
  <si>
    <t>** 14 431 171</t>
  </si>
  <si>
    <t>OŚWIATA I WYCHOWANIE</t>
  </si>
  <si>
    <t xml:space="preserve">                                      do Uchwały Rady Powiatu Nr XXIX/208/09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</si>
</sst>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</numFmts>
  <fonts count="3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Times New Roman CE"/>
      <family val="1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1"/>
      <color indexed="10"/>
      <name val="Arial CE"/>
      <family val="2"/>
    </font>
    <font>
      <b/>
      <sz val="12"/>
      <color indexed="10"/>
      <name val="Arial CE"/>
      <family val="2"/>
    </font>
    <font>
      <b/>
      <sz val="8"/>
      <color indexed="10"/>
      <name val="Arial"/>
      <family val="2"/>
    </font>
    <font>
      <sz val="11"/>
      <color indexed="10"/>
      <name val="Times New Roman CE"/>
      <family val="1"/>
    </font>
    <font>
      <sz val="12"/>
      <color indexed="10"/>
      <name val="Arial CE"/>
      <family val="2"/>
    </font>
    <font>
      <b/>
      <sz val="11"/>
      <name val="Times New Roman CE"/>
      <family val="1"/>
    </font>
    <font>
      <sz val="6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Arial"/>
      <family val="0"/>
    </font>
    <font>
      <sz val="6"/>
      <name val="Arial"/>
      <family val="0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9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4" fontId="1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2" fillId="0" borderId="0" xfId="0" applyFont="1" applyAlignment="1">
      <alignment horizontal="left"/>
    </xf>
    <xf numFmtId="4" fontId="18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" fillId="0" borderId="0" xfId="0" applyFont="1" applyAlignment="1">
      <alignment horizontal="left"/>
    </xf>
    <xf numFmtId="0" fontId="19" fillId="0" borderId="0" xfId="0" applyFont="1" applyAlignment="1">
      <alignment vertical="top"/>
    </xf>
    <xf numFmtId="0" fontId="15" fillId="0" borderId="0" xfId="0" applyFont="1" applyAlignment="1">
      <alignment/>
    </xf>
    <xf numFmtId="0" fontId="9" fillId="0" borderId="0" xfId="0" applyFont="1" applyAlignment="1">
      <alignment vertical="top"/>
    </xf>
    <xf numFmtId="0" fontId="6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3" fillId="0" borderId="0" xfId="17" applyFont="1">
      <alignment/>
      <protection/>
    </xf>
    <xf numFmtId="4" fontId="6" fillId="0" borderId="0" xfId="0" applyNumberFormat="1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4" fontId="12" fillId="0" borderId="23" xfId="0" applyNumberFormat="1" applyFont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25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4" fillId="0" borderId="0" xfId="17" applyFont="1">
      <alignment/>
      <protection/>
    </xf>
    <xf numFmtId="0" fontId="27" fillId="0" borderId="0" xfId="17" applyFont="1">
      <alignment/>
      <protection/>
    </xf>
    <xf numFmtId="0" fontId="26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2" borderId="27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25" xfId="0" applyFont="1" applyBorder="1" applyAlignment="1">
      <alignment horizontal="center" vertical="center"/>
    </xf>
    <xf numFmtId="0" fontId="29" fillId="0" borderId="35" xfId="0" applyFont="1" applyBorder="1" applyAlignment="1">
      <alignment horizontal="left" vertical="center"/>
    </xf>
    <xf numFmtId="164" fontId="29" fillId="0" borderId="35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23" fillId="0" borderId="3" xfId="17" applyFont="1" applyFill="1" applyBorder="1">
      <alignment/>
      <protection/>
    </xf>
    <xf numFmtId="3" fontId="23" fillId="0" borderId="10" xfId="17" applyNumberFormat="1" applyFont="1" applyBorder="1">
      <alignment/>
      <protection/>
    </xf>
    <xf numFmtId="0" fontId="23" fillId="0" borderId="10" xfId="17" applyFont="1" applyFill="1" applyBorder="1">
      <alignment/>
      <protection/>
    </xf>
    <xf numFmtId="3" fontId="23" fillId="0" borderId="16" xfId="17" applyNumberFormat="1" applyFont="1" applyBorder="1" applyAlignment="1">
      <alignment horizontal="center"/>
      <protection/>
    </xf>
    <xf numFmtId="3" fontId="23" fillId="0" borderId="17" xfId="17" applyNumberFormat="1" applyFont="1" applyBorder="1">
      <alignment/>
      <protection/>
    </xf>
    <xf numFmtId="3" fontId="23" fillId="0" borderId="8" xfId="17" applyNumberFormat="1" applyFont="1" applyBorder="1">
      <alignment/>
      <protection/>
    </xf>
    <xf numFmtId="3" fontId="23" fillId="0" borderId="18" xfId="17" applyNumberFormat="1" applyFont="1" applyBorder="1" applyAlignment="1">
      <alignment horizontal="center"/>
      <protection/>
    </xf>
    <xf numFmtId="3" fontId="23" fillId="0" borderId="17" xfId="17" applyNumberFormat="1" applyFont="1" applyBorder="1" applyAlignment="1">
      <alignment horizontal="center"/>
      <protection/>
    </xf>
    <xf numFmtId="3" fontId="23" fillId="0" borderId="19" xfId="17" applyNumberFormat="1" applyFont="1" applyBorder="1" applyAlignment="1">
      <alignment horizontal="center"/>
      <protection/>
    </xf>
    <xf numFmtId="3" fontId="23" fillId="0" borderId="20" xfId="17" applyNumberFormat="1" applyFont="1" applyBorder="1" applyAlignment="1">
      <alignment horizontal="center"/>
      <protection/>
    </xf>
    <xf numFmtId="3" fontId="23" fillId="0" borderId="21" xfId="17" applyNumberFormat="1" applyFont="1" applyBorder="1" applyAlignment="1">
      <alignment horizontal="center"/>
      <protection/>
    </xf>
    <xf numFmtId="3" fontId="23" fillId="0" borderId="22" xfId="17" applyNumberFormat="1" applyFont="1" applyBorder="1" applyAlignment="1">
      <alignment horizontal="center"/>
      <protection/>
    </xf>
    <xf numFmtId="3" fontId="23" fillId="0" borderId="23" xfId="17" applyNumberFormat="1" applyFont="1" applyBorder="1" applyAlignment="1">
      <alignment horizontal="center"/>
      <protection/>
    </xf>
    <xf numFmtId="3" fontId="23" fillId="0" borderId="24" xfId="17" applyNumberFormat="1" applyFont="1" applyBorder="1" applyAlignment="1">
      <alignment horizontal="center"/>
      <protection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30" fillId="0" borderId="25" xfId="0" applyNumberFormat="1" applyFont="1" applyBorder="1" applyAlignment="1">
      <alignment vertical="center"/>
    </xf>
    <xf numFmtId="3" fontId="30" fillId="0" borderId="26" xfId="0" applyNumberFormat="1" applyFont="1" applyBorder="1" applyAlignment="1">
      <alignment vertical="center"/>
    </xf>
    <xf numFmtId="3" fontId="30" fillId="2" borderId="27" xfId="0" applyNumberFormat="1" applyFont="1" applyFill="1" applyBorder="1" applyAlignment="1">
      <alignment vertical="center"/>
    </xf>
    <xf numFmtId="3" fontId="30" fillId="0" borderId="28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0" fontId="11" fillId="0" borderId="28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30" fillId="0" borderId="42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33" fillId="0" borderId="27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164" fontId="5" fillId="0" borderId="28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left" vertical="center" indent="1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 quotePrefix="1">
      <alignment horizontal="left" vertical="center" indent="1"/>
    </xf>
    <xf numFmtId="0" fontId="4" fillId="0" borderId="43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/>
    </xf>
    <xf numFmtId="164" fontId="5" fillId="0" borderId="47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164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 wrapText="1"/>
    </xf>
    <xf numFmtId="164" fontId="5" fillId="0" borderId="51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164" fontId="7" fillId="0" borderId="5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164" fontId="5" fillId="0" borderId="54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4" xfId="0" applyFont="1" applyBorder="1" applyAlignment="1" quotePrefix="1">
      <alignment horizontal="left" vertical="center" indent="1"/>
    </xf>
    <xf numFmtId="164" fontId="7" fillId="0" borderId="54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23" fillId="0" borderId="10" xfId="17" applyFont="1" applyBorder="1" applyAlignment="1">
      <alignment horizontal="center" vertical="center" wrapText="1"/>
      <protection/>
    </xf>
    <xf numFmtId="0" fontId="34" fillId="0" borderId="10" xfId="17" applyFont="1" applyBorder="1" applyAlignment="1">
      <alignment horizontal="center" vertical="center" wrapText="1"/>
      <protection/>
    </xf>
    <xf numFmtId="0" fontId="35" fillId="0" borderId="10" xfId="17" applyFont="1" applyFill="1" applyBorder="1" applyAlignment="1">
      <alignment horizontal="center" vertical="center"/>
      <protection/>
    </xf>
    <xf numFmtId="0" fontId="35" fillId="0" borderId="10" xfId="17" applyFont="1" applyBorder="1" applyAlignment="1">
      <alignment horizontal="center" vertical="center"/>
      <protection/>
    </xf>
    <xf numFmtId="0" fontId="21" fillId="0" borderId="10" xfId="17" applyFont="1" applyFill="1" applyBorder="1" applyAlignment="1">
      <alignment horizontal="center"/>
      <protection/>
    </xf>
    <xf numFmtId="0" fontId="21" fillId="0" borderId="10" xfId="17" applyFont="1" applyFill="1" applyBorder="1">
      <alignment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36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4" fontId="4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/>
    </xf>
    <xf numFmtId="3" fontId="36" fillId="0" borderId="10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/>
    </xf>
    <xf numFmtId="4" fontId="36" fillId="0" borderId="10" xfId="0" applyNumberFormat="1" applyFont="1" applyFill="1" applyBorder="1" applyAlignment="1">
      <alignment/>
    </xf>
    <xf numFmtId="10" fontId="4" fillId="0" borderId="10" xfId="18" applyNumberFormat="1" applyFont="1" applyFill="1" applyBorder="1" applyAlignment="1">
      <alignment horizontal="center"/>
    </xf>
    <xf numFmtId="10" fontId="36" fillId="0" borderId="10" xfId="18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4" fillId="0" borderId="10" xfId="18" applyNumberFormat="1" applyFont="1" applyFill="1" applyBorder="1" applyAlignment="1">
      <alignment vertical="center"/>
    </xf>
    <xf numFmtId="10" fontId="36" fillId="0" borderId="10" xfId="18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36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1" fillId="0" borderId="10" xfId="17" applyNumberFormat="1" applyFont="1" applyBorder="1">
      <alignment/>
      <protection/>
    </xf>
    <xf numFmtId="0" fontId="23" fillId="0" borderId="0" xfId="17" applyFont="1">
      <alignment/>
      <protection/>
    </xf>
    <xf numFmtId="3" fontId="23" fillId="0" borderId="0" xfId="17" applyNumberFormat="1" applyFont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12" fillId="0" borderId="8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right" vertical="center" wrapText="1"/>
    </xf>
    <xf numFmtId="4" fontId="20" fillId="0" borderId="23" xfId="0" applyNumberFormat="1" applyFont="1" applyFill="1" applyBorder="1" applyAlignment="1">
      <alignment horizontal="right" vertical="center" wrapText="1"/>
    </xf>
    <xf numFmtId="4" fontId="20" fillId="0" borderId="20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0" fontId="37" fillId="0" borderId="24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3" fontId="23" fillId="0" borderId="10" xfId="17" applyNumberFormat="1" applyFont="1" applyFill="1" applyBorder="1">
      <alignment/>
      <protection/>
    </xf>
    <xf numFmtId="3" fontId="23" fillId="0" borderId="17" xfId="17" applyNumberFormat="1" applyFont="1" applyFill="1" applyBorder="1">
      <alignment/>
      <protection/>
    </xf>
    <xf numFmtId="3" fontId="23" fillId="0" borderId="8" xfId="17" applyNumberFormat="1" applyFont="1" applyFill="1" applyBorder="1">
      <alignment/>
      <protection/>
    </xf>
    <xf numFmtId="3" fontId="23" fillId="0" borderId="18" xfId="17" applyNumberFormat="1" applyFont="1" applyFill="1" applyBorder="1" applyAlignment="1">
      <alignment horizontal="center"/>
      <protection/>
    </xf>
    <xf numFmtId="3" fontId="23" fillId="0" borderId="17" xfId="17" applyNumberFormat="1" applyFont="1" applyFill="1" applyBorder="1" applyAlignment="1">
      <alignment horizontal="center"/>
      <protection/>
    </xf>
    <xf numFmtId="3" fontId="23" fillId="0" borderId="19" xfId="17" applyNumberFormat="1" applyFont="1" applyFill="1" applyBorder="1" applyAlignment="1">
      <alignment horizontal="center"/>
      <protection/>
    </xf>
    <xf numFmtId="3" fontId="23" fillId="0" borderId="20" xfId="17" applyNumberFormat="1" applyFont="1" applyFill="1" applyBorder="1" applyAlignment="1">
      <alignment horizontal="center"/>
      <protection/>
    </xf>
    <xf numFmtId="3" fontId="23" fillId="0" borderId="21" xfId="17" applyNumberFormat="1" applyFont="1" applyFill="1" applyBorder="1" applyAlignment="1">
      <alignment horizontal="center"/>
      <protection/>
    </xf>
    <xf numFmtId="3" fontId="23" fillId="0" borderId="22" xfId="17" applyNumberFormat="1" applyFont="1" applyFill="1" applyBorder="1" applyAlignment="1">
      <alignment horizontal="center"/>
      <protection/>
    </xf>
    <xf numFmtId="3" fontId="23" fillId="0" borderId="23" xfId="17" applyNumberFormat="1" applyFont="1" applyFill="1" applyBorder="1" applyAlignment="1">
      <alignment horizontal="center"/>
      <protection/>
    </xf>
    <xf numFmtId="3" fontId="23" fillId="0" borderId="16" xfId="17" applyNumberFormat="1" applyFont="1" applyFill="1" applyBorder="1" applyAlignment="1">
      <alignment horizontal="center"/>
      <protection/>
    </xf>
    <xf numFmtId="3" fontId="23" fillId="0" borderId="24" xfId="17" applyNumberFormat="1" applyFont="1" applyFill="1" applyBorder="1" applyAlignment="1">
      <alignment horizontal="center"/>
      <protection/>
    </xf>
    <xf numFmtId="0" fontId="23" fillId="0" borderId="10" xfId="17" applyFont="1" applyFill="1" applyBorder="1" applyAlignment="1">
      <alignment horizontal="center" vertical="center"/>
      <protection/>
    </xf>
    <xf numFmtId="0" fontId="23" fillId="0" borderId="10" xfId="17" applyFont="1" applyFill="1" applyBorder="1" applyAlignment="1">
      <alignment horizontal="center" vertical="center" wrapText="1"/>
      <protection/>
    </xf>
    <xf numFmtId="0" fontId="24" fillId="0" borderId="10" xfId="17" applyFont="1" applyFill="1" applyBorder="1" applyAlignment="1">
      <alignment horizontal="center" vertical="center"/>
      <protection/>
    </xf>
    <xf numFmtId="0" fontId="24" fillId="0" borderId="17" xfId="17" applyFont="1" applyFill="1" applyBorder="1" applyAlignment="1">
      <alignment horizontal="center" vertical="center"/>
      <protection/>
    </xf>
    <xf numFmtId="0" fontId="24" fillId="0" borderId="21" xfId="17" applyFont="1" applyFill="1" applyBorder="1" applyAlignment="1">
      <alignment horizontal="center" vertical="center"/>
      <protection/>
    </xf>
    <xf numFmtId="0" fontId="24" fillId="0" borderId="16" xfId="17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6" fillId="0" borderId="17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4" fontId="36" fillId="0" borderId="10" xfId="0" applyNumberFormat="1" applyFont="1" applyFill="1" applyBorder="1" applyAlignment="1">
      <alignment vertical="center"/>
    </xf>
    <xf numFmtId="4" fontId="36" fillId="0" borderId="3" xfId="0" applyNumberFormat="1" applyFont="1" applyFill="1" applyBorder="1" applyAlignment="1">
      <alignment/>
    </xf>
    <xf numFmtId="4" fontId="36" fillId="0" borderId="10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3" fontId="23" fillId="0" borderId="8" xfId="17" applyNumberFormat="1" applyFont="1" applyFill="1" applyBorder="1" applyAlignment="1">
      <alignment horizontal="center"/>
      <protection/>
    </xf>
    <xf numFmtId="3" fontId="23" fillId="0" borderId="10" xfId="17" applyNumberFormat="1" applyFont="1" applyFill="1" applyBorder="1" applyAlignment="1">
      <alignment horizontal="center"/>
      <protection/>
    </xf>
    <xf numFmtId="3" fontId="23" fillId="0" borderId="3" xfId="17" applyNumberFormat="1" applyFont="1" applyFill="1" applyBorder="1" applyAlignment="1">
      <alignment horizontal="center"/>
      <protection/>
    </xf>
    <xf numFmtId="0" fontId="10" fillId="0" borderId="16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12" fillId="0" borderId="17" xfId="0" applyNumberFormat="1" applyFont="1" applyBorder="1" applyAlignment="1">
      <alignment vertical="center" wrapText="1"/>
    </xf>
    <xf numFmtId="4" fontId="12" fillId="0" borderId="16" xfId="0" applyNumberFormat="1" applyFont="1" applyBorder="1" applyAlignment="1">
      <alignment vertical="center" wrapText="1"/>
    </xf>
    <xf numFmtId="4" fontId="12" fillId="0" borderId="21" xfId="0" applyNumberFormat="1" applyFont="1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23" fillId="0" borderId="17" xfId="17" applyFont="1" applyFill="1" applyBorder="1" applyAlignment="1">
      <alignment horizontal="center" vertical="center"/>
      <protection/>
    </xf>
    <xf numFmtId="0" fontId="23" fillId="0" borderId="21" xfId="17" applyFont="1" applyFill="1" applyBorder="1" applyAlignment="1">
      <alignment horizontal="center" vertical="center"/>
      <protection/>
    </xf>
    <xf numFmtId="0" fontId="24" fillId="0" borderId="10" xfId="17" applyFont="1" applyFill="1" applyBorder="1">
      <alignment/>
      <protection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23" fillId="0" borderId="16" xfId="17" applyFont="1" applyFill="1" applyBorder="1">
      <alignment/>
      <protection/>
    </xf>
    <xf numFmtId="0" fontId="0" fillId="0" borderId="0" xfId="0" applyFont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4" fontId="0" fillId="0" borderId="17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/>
    </xf>
    <xf numFmtId="4" fontId="0" fillId="2" borderId="10" xfId="0" applyNumberFormat="1" applyFont="1" applyFill="1" applyBorder="1" applyAlignment="1">
      <alignment/>
    </xf>
    <xf numFmtId="4" fontId="4" fillId="2" borderId="16" xfId="0" applyNumberFormat="1" applyFont="1" applyFill="1" applyBorder="1" applyAlignment="1">
      <alignment/>
    </xf>
    <xf numFmtId="4" fontId="4" fillId="2" borderId="10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23" fillId="0" borderId="17" xfId="17" applyFont="1" applyFill="1" applyBorder="1" applyAlignment="1">
      <alignment horizontal="center" vertical="center"/>
      <protection/>
    </xf>
    <xf numFmtId="0" fontId="23" fillId="0" borderId="21" xfId="17" applyFont="1" applyFill="1" applyBorder="1" applyAlignment="1">
      <alignment horizontal="center" vertical="center"/>
      <protection/>
    </xf>
    <xf numFmtId="0" fontId="23" fillId="0" borderId="16" xfId="17" applyFont="1" applyFill="1" applyBorder="1" applyAlignment="1">
      <alignment horizontal="center" vertical="center"/>
      <protection/>
    </xf>
    <xf numFmtId="3" fontId="24" fillId="0" borderId="16" xfId="17" applyNumberFormat="1" applyFont="1" applyFill="1" applyBorder="1" applyAlignment="1">
      <alignment horizontal="center"/>
      <protection/>
    </xf>
    <xf numFmtId="3" fontId="0" fillId="0" borderId="24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23" fillId="0" borderId="10" xfId="17" applyFont="1" applyFill="1" applyBorder="1" applyAlignment="1">
      <alignment horizontal="center"/>
      <protection/>
    </xf>
    <xf numFmtId="0" fontId="37" fillId="0" borderId="3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vertical="center" wrapText="1"/>
    </xf>
    <xf numFmtId="0" fontId="23" fillId="0" borderId="17" xfId="17" applyFont="1" applyFill="1" applyBorder="1" applyAlignment="1">
      <alignment horizontal="center" vertical="center" wrapText="1"/>
      <protection/>
    </xf>
    <xf numFmtId="0" fontId="23" fillId="0" borderId="21" xfId="17" applyFont="1" applyFill="1" applyBorder="1" applyAlignment="1">
      <alignment horizontal="center" vertical="center" wrapText="1"/>
      <protection/>
    </xf>
    <xf numFmtId="0" fontId="23" fillId="0" borderId="16" xfId="17" applyFont="1" applyFill="1" applyBorder="1" applyAlignment="1">
      <alignment horizontal="center" vertical="center" wrapText="1"/>
      <protection/>
    </xf>
    <xf numFmtId="0" fontId="23" fillId="0" borderId="34" xfId="17" applyFont="1" applyFill="1" applyBorder="1">
      <alignment/>
      <protection/>
    </xf>
    <xf numFmtId="0" fontId="23" fillId="0" borderId="18" xfId="17" applyFont="1" applyFill="1" applyBorder="1" applyAlignment="1">
      <alignment horizontal="center" vertical="center"/>
      <protection/>
    </xf>
    <xf numFmtId="0" fontId="23" fillId="0" borderId="20" xfId="17" applyFont="1" applyFill="1" applyBorder="1" applyAlignment="1">
      <alignment horizontal="center" vertical="center"/>
      <protection/>
    </xf>
    <xf numFmtId="0" fontId="23" fillId="0" borderId="23" xfId="17" applyFont="1" applyFill="1" applyBorder="1" applyAlignment="1">
      <alignment horizontal="center" vertical="center"/>
      <protection/>
    </xf>
    <xf numFmtId="3" fontId="23" fillId="0" borderId="3" xfId="17" applyNumberFormat="1" applyFont="1" applyFill="1" applyBorder="1">
      <alignment/>
      <protection/>
    </xf>
    <xf numFmtId="4" fontId="25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4" fontId="7" fillId="0" borderId="2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3" fillId="0" borderId="0" xfId="17" applyFont="1" applyBorder="1" applyAlignment="1">
      <alignment horizontal="center"/>
      <protection/>
    </xf>
    <xf numFmtId="3" fontId="21" fillId="0" borderId="0" xfId="17" applyNumberFormat="1" applyFont="1" applyBorder="1">
      <alignment/>
      <protection/>
    </xf>
    <xf numFmtId="44" fontId="4" fillId="2" borderId="3" xfId="19" applyFont="1" applyFill="1" applyBorder="1" applyAlignment="1">
      <alignment/>
    </xf>
    <xf numFmtId="0" fontId="23" fillId="0" borderId="21" xfId="17" applyFont="1" applyFill="1" applyBorder="1" applyAlignment="1">
      <alignment horizontal="center" vertical="center"/>
      <protection/>
    </xf>
    <xf numFmtId="0" fontId="23" fillId="0" borderId="16" xfId="17" applyFont="1" applyFill="1" applyBorder="1" applyAlignment="1">
      <alignment horizontal="center" vertical="center"/>
      <protection/>
    </xf>
    <xf numFmtId="0" fontId="23" fillId="0" borderId="16" xfId="17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3" fillId="0" borderId="18" xfId="17" applyFont="1" applyFill="1" applyBorder="1" applyAlignment="1">
      <alignment horizontal="left" vertical="center"/>
      <protection/>
    </xf>
    <xf numFmtId="0" fontId="0" fillId="0" borderId="55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3" fillId="0" borderId="8" xfId="17" applyFont="1" applyFill="1" applyBorder="1" applyAlignment="1">
      <alignment horizontal="left" vertical="center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3" fillId="0" borderId="17" xfId="17" applyFont="1" applyFill="1" applyBorder="1" applyAlignment="1">
      <alignment horizontal="center" vertical="center"/>
      <protection/>
    </xf>
    <xf numFmtId="0" fontId="23" fillId="0" borderId="21" xfId="17" applyFont="1" applyFill="1" applyBorder="1" applyAlignment="1">
      <alignment horizontal="center" vertical="center"/>
      <protection/>
    </xf>
    <xf numFmtId="0" fontId="23" fillId="0" borderId="16" xfId="17" applyFont="1" applyFill="1" applyBorder="1" applyAlignment="1">
      <alignment horizontal="center" vertical="center"/>
      <protection/>
    </xf>
    <xf numFmtId="0" fontId="23" fillId="0" borderId="17" xfId="17" applyFont="1" applyFill="1" applyBorder="1" applyAlignment="1">
      <alignment horizontal="center" vertical="center" wrapText="1"/>
      <protection/>
    </xf>
    <xf numFmtId="0" fontId="23" fillId="0" borderId="21" xfId="17" applyFont="1" applyFill="1" applyBorder="1" applyAlignment="1">
      <alignment horizontal="center" vertical="center" wrapText="1"/>
      <protection/>
    </xf>
    <xf numFmtId="0" fontId="23" fillId="0" borderId="16" xfId="17" applyFont="1" applyFill="1" applyBorder="1" applyAlignment="1">
      <alignment horizontal="center" vertical="center" wrapText="1"/>
      <protection/>
    </xf>
    <xf numFmtId="3" fontId="0" fillId="0" borderId="3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0" fontId="23" fillId="0" borderId="17" xfId="17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0" borderId="10" xfId="17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3" fontId="24" fillId="0" borderId="17" xfId="17" applyNumberFormat="1" applyFont="1" applyFill="1" applyBorder="1" applyAlignment="1">
      <alignment horizontal="center"/>
      <protection/>
    </xf>
    <xf numFmtId="3" fontId="24" fillId="0" borderId="21" xfId="17" applyNumberFormat="1" applyFont="1" applyFill="1" applyBorder="1" applyAlignment="1">
      <alignment horizontal="center"/>
      <protection/>
    </xf>
    <xf numFmtId="3" fontId="24" fillId="0" borderId="16" xfId="17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left" vertical="center"/>
    </xf>
    <xf numFmtId="0" fontId="23" fillId="0" borderId="8" xfId="17" applyFont="1" applyBorder="1" applyAlignment="1">
      <alignment horizontal="center"/>
      <protection/>
    </xf>
    <xf numFmtId="0" fontId="23" fillId="0" borderId="3" xfId="17" applyFont="1" applyBorder="1" applyAlignment="1">
      <alignment horizontal="center"/>
      <protection/>
    </xf>
    <xf numFmtId="0" fontId="23" fillId="0" borderId="0" xfId="17" applyFont="1" applyAlignment="1">
      <alignment horizontal="left"/>
      <protection/>
    </xf>
    <xf numFmtId="0" fontId="21" fillId="0" borderId="10" xfId="17" applyFont="1" applyBorder="1" applyAlignment="1">
      <alignment horizontal="center"/>
      <protection/>
    </xf>
    <xf numFmtId="0" fontId="24" fillId="0" borderId="17" xfId="17" applyFont="1" applyFill="1" applyBorder="1" applyAlignment="1">
      <alignment horizontal="center" vertical="center"/>
      <protection/>
    </xf>
    <xf numFmtId="0" fontId="24" fillId="0" borderId="21" xfId="17" applyFont="1" applyFill="1" applyBorder="1" applyAlignment="1">
      <alignment horizontal="center" vertical="center"/>
      <protection/>
    </xf>
    <xf numFmtId="0" fontId="24" fillId="0" borderId="16" xfId="17" applyFont="1" applyFill="1" applyBorder="1" applyAlignment="1">
      <alignment horizontal="center" vertical="center"/>
      <protection/>
    </xf>
    <xf numFmtId="0" fontId="23" fillId="0" borderId="17" xfId="17" applyFont="1" applyBorder="1" applyAlignment="1">
      <alignment horizontal="center" vertical="center"/>
      <protection/>
    </xf>
    <xf numFmtId="0" fontId="23" fillId="0" borderId="21" xfId="17" applyFont="1" applyBorder="1" applyAlignment="1">
      <alignment horizontal="center" vertical="center"/>
      <protection/>
    </xf>
    <xf numFmtId="0" fontId="23" fillId="0" borderId="16" xfId="17" applyFont="1" applyBorder="1" applyAlignment="1">
      <alignment horizontal="center" vertical="center"/>
      <protection/>
    </xf>
    <xf numFmtId="0" fontId="23" fillId="0" borderId="17" xfId="17" applyFont="1" applyBorder="1" applyAlignment="1">
      <alignment horizontal="center" vertical="center" wrapText="1"/>
      <protection/>
    </xf>
    <xf numFmtId="0" fontId="23" fillId="0" borderId="21" xfId="17" applyFont="1" applyBorder="1" applyAlignment="1">
      <alignment horizontal="center" vertical="center" wrapText="1"/>
      <protection/>
    </xf>
    <xf numFmtId="0" fontId="23" fillId="0" borderId="16" xfId="17" applyFont="1" applyBorder="1" applyAlignment="1">
      <alignment horizontal="center" vertical="center" wrapText="1"/>
      <protection/>
    </xf>
    <xf numFmtId="0" fontId="21" fillId="0" borderId="0" xfId="17" applyFont="1" applyAlignment="1">
      <alignment horizontal="center"/>
      <protection/>
    </xf>
    <xf numFmtId="0" fontId="23" fillId="0" borderId="10" xfId="17" applyFont="1" applyBorder="1" applyAlignment="1">
      <alignment horizontal="center" vertical="center"/>
      <protection/>
    </xf>
    <xf numFmtId="0" fontId="23" fillId="0" borderId="10" xfId="17" applyFont="1" applyBorder="1" applyAlignment="1">
      <alignment horizontal="center" vertical="center" wrapText="1"/>
      <protection/>
    </xf>
    <xf numFmtId="3" fontId="23" fillId="0" borderId="17" xfId="17" applyNumberFormat="1" applyFont="1" applyFill="1" applyBorder="1" applyAlignment="1">
      <alignment horizontal="center"/>
      <protection/>
    </xf>
    <xf numFmtId="3" fontId="23" fillId="0" borderId="21" xfId="17" applyNumberFormat="1" applyFont="1" applyFill="1" applyBorder="1" applyAlignment="1">
      <alignment horizontal="center"/>
      <protection/>
    </xf>
    <xf numFmtId="0" fontId="10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4" fontId="4" fillId="2" borderId="8" xfId="19" applyFont="1" applyFill="1" applyBorder="1" applyAlignment="1">
      <alignment horizontal="center"/>
    </xf>
    <xf numFmtId="44" fontId="4" fillId="2" borderId="34" xfId="19" applyFont="1" applyFill="1" applyBorder="1" applyAlignment="1">
      <alignment horizontal="center"/>
    </xf>
    <xf numFmtId="44" fontId="4" fillId="2" borderId="3" xfId="19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8" name="TextBox 8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1" name="Line 6"/>
        <xdr:cNvSpPr>
          <a:spLocks/>
        </xdr:cNvSpPr>
      </xdr:nvSpPr>
      <xdr:spPr>
        <a:xfrm>
          <a:off x="1514475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>
          <a:off x="1504950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1514475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>
          <a:off x="1514475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>
          <a:off x="1514475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>
          <a:off x="1514475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7" name="Line 12"/>
        <xdr:cNvSpPr>
          <a:spLocks/>
        </xdr:cNvSpPr>
      </xdr:nvSpPr>
      <xdr:spPr>
        <a:xfrm>
          <a:off x="1504950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8" name="Line 13"/>
        <xdr:cNvSpPr>
          <a:spLocks/>
        </xdr:cNvSpPr>
      </xdr:nvSpPr>
      <xdr:spPr>
        <a:xfrm>
          <a:off x="1514475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9" name="Line 14"/>
        <xdr:cNvSpPr>
          <a:spLocks/>
        </xdr:cNvSpPr>
      </xdr:nvSpPr>
      <xdr:spPr>
        <a:xfrm>
          <a:off x="1514475" y="3448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" name="Line 16"/>
        <xdr:cNvSpPr>
          <a:spLocks/>
        </xdr:cNvSpPr>
      </xdr:nvSpPr>
      <xdr:spPr>
        <a:xfrm>
          <a:off x="1514475" y="11106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1" name="Line 17"/>
        <xdr:cNvSpPr>
          <a:spLocks/>
        </xdr:cNvSpPr>
      </xdr:nvSpPr>
      <xdr:spPr>
        <a:xfrm>
          <a:off x="1504950" y="11106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2" name="Line 18"/>
        <xdr:cNvSpPr>
          <a:spLocks/>
        </xdr:cNvSpPr>
      </xdr:nvSpPr>
      <xdr:spPr>
        <a:xfrm>
          <a:off x="1514475" y="11106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3" name="Line 19"/>
        <xdr:cNvSpPr>
          <a:spLocks/>
        </xdr:cNvSpPr>
      </xdr:nvSpPr>
      <xdr:spPr>
        <a:xfrm>
          <a:off x="1514475" y="11106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4" name="Line 20"/>
        <xdr:cNvSpPr>
          <a:spLocks/>
        </xdr:cNvSpPr>
      </xdr:nvSpPr>
      <xdr:spPr>
        <a:xfrm>
          <a:off x="1514475" y="11106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5" name="Line 21"/>
        <xdr:cNvSpPr>
          <a:spLocks/>
        </xdr:cNvSpPr>
      </xdr:nvSpPr>
      <xdr:spPr>
        <a:xfrm>
          <a:off x="1514475" y="11106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6" name="Line 22"/>
        <xdr:cNvSpPr>
          <a:spLocks/>
        </xdr:cNvSpPr>
      </xdr:nvSpPr>
      <xdr:spPr>
        <a:xfrm>
          <a:off x="1504950" y="11106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7" name="Line 23"/>
        <xdr:cNvSpPr>
          <a:spLocks/>
        </xdr:cNvSpPr>
      </xdr:nvSpPr>
      <xdr:spPr>
        <a:xfrm>
          <a:off x="1514475" y="11106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8" name="Line 24"/>
        <xdr:cNvSpPr>
          <a:spLocks/>
        </xdr:cNvSpPr>
      </xdr:nvSpPr>
      <xdr:spPr>
        <a:xfrm>
          <a:off x="1514475" y="11106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19" name="Line 25"/>
        <xdr:cNvSpPr>
          <a:spLocks/>
        </xdr:cNvSpPr>
      </xdr:nvSpPr>
      <xdr:spPr>
        <a:xfrm>
          <a:off x="1514475" y="22050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76200</xdr:colOff>
      <xdr:row>82</xdr:row>
      <xdr:rowOff>0</xdr:rowOff>
    </xdr:to>
    <xdr:sp>
      <xdr:nvSpPr>
        <xdr:cNvPr id="20" name="Line 26"/>
        <xdr:cNvSpPr>
          <a:spLocks/>
        </xdr:cNvSpPr>
      </xdr:nvSpPr>
      <xdr:spPr>
        <a:xfrm>
          <a:off x="1504950" y="22050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1" name="Line 27"/>
        <xdr:cNvSpPr>
          <a:spLocks/>
        </xdr:cNvSpPr>
      </xdr:nvSpPr>
      <xdr:spPr>
        <a:xfrm>
          <a:off x="1514475" y="22050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2" name="Line 28"/>
        <xdr:cNvSpPr>
          <a:spLocks/>
        </xdr:cNvSpPr>
      </xdr:nvSpPr>
      <xdr:spPr>
        <a:xfrm>
          <a:off x="1514475" y="22050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3" name="Line 29"/>
        <xdr:cNvSpPr>
          <a:spLocks/>
        </xdr:cNvSpPr>
      </xdr:nvSpPr>
      <xdr:spPr>
        <a:xfrm>
          <a:off x="1514475" y="22050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4" name="Line 30"/>
        <xdr:cNvSpPr>
          <a:spLocks/>
        </xdr:cNvSpPr>
      </xdr:nvSpPr>
      <xdr:spPr>
        <a:xfrm>
          <a:off x="1514475" y="22050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76200</xdr:colOff>
      <xdr:row>82</xdr:row>
      <xdr:rowOff>0</xdr:rowOff>
    </xdr:to>
    <xdr:sp>
      <xdr:nvSpPr>
        <xdr:cNvPr id="25" name="Line 31"/>
        <xdr:cNvSpPr>
          <a:spLocks/>
        </xdr:cNvSpPr>
      </xdr:nvSpPr>
      <xdr:spPr>
        <a:xfrm>
          <a:off x="1504950" y="22050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6" name="Line 32"/>
        <xdr:cNvSpPr>
          <a:spLocks/>
        </xdr:cNvSpPr>
      </xdr:nvSpPr>
      <xdr:spPr>
        <a:xfrm>
          <a:off x="1514475" y="22050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82</xdr:row>
      <xdr:rowOff>0</xdr:rowOff>
    </xdr:from>
    <xdr:to>
      <xdr:col>4</xdr:col>
      <xdr:colOff>85725</xdr:colOff>
      <xdr:row>82</xdr:row>
      <xdr:rowOff>0</xdr:rowOff>
    </xdr:to>
    <xdr:sp>
      <xdr:nvSpPr>
        <xdr:cNvPr id="27" name="Line 33"/>
        <xdr:cNvSpPr>
          <a:spLocks/>
        </xdr:cNvSpPr>
      </xdr:nvSpPr>
      <xdr:spPr>
        <a:xfrm>
          <a:off x="1514475" y="22050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>
    <tabColor indexed="14"/>
  </sheetPr>
  <dimension ref="A1:F82"/>
  <sheetViews>
    <sheetView tabSelected="1" workbookViewId="0" topLeftCell="B1">
      <selection activeCell="H13" sqref="H13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6" s="101" customFormat="1" ht="19.5" customHeight="1">
      <c r="A1" s="581" t="s">
        <v>214</v>
      </c>
      <c r="B1" s="581"/>
      <c r="C1" s="581"/>
      <c r="D1" s="581"/>
      <c r="E1" s="581"/>
      <c r="F1" s="581"/>
    </row>
    <row r="2" spans="1:6" s="101" customFormat="1" ht="15" customHeight="1">
      <c r="A2" s="581"/>
      <c r="B2" s="581"/>
      <c r="C2" s="581"/>
      <c r="D2" s="581"/>
      <c r="E2" s="581"/>
      <c r="F2" s="581"/>
    </row>
    <row r="3" s="101" customFormat="1" ht="13.5" thickBot="1">
      <c r="F3" s="208" t="s">
        <v>421</v>
      </c>
    </row>
    <row r="4" spans="1:6" s="101" customFormat="1" ht="15.75" thickBot="1">
      <c r="A4" s="174" t="s">
        <v>364</v>
      </c>
      <c r="B4" s="174" t="s">
        <v>361</v>
      </c>
      <c r="C4" s="174" t="s">
        <v>380</v>
      </c>
      <c r="D4" s="175" t="s">
        <v>380</v>
      </c>
      <c r="E4" s="579" t="s">
        <v>362</v>
      </c>
      <c r="F4" s="580"/>
    </row>
    <row r="5" spans="1:6" s="101" customFormat="1" ht="30.75" thickBot="1">
      <c r="A5" s="176"/>
      <c r="B5" s="176"/>
      <c r="C5" s="177" t="s">
        <v>381</v>
      </c>
      <c r="D5" s="178" t="s">
        <v>304</v>
      </c>
      <c r="E5" s="172" t="s">
        <v>161</v>
      </c>
      <c r="F5" s="172" t="s">
        <v>160</v>
      </c>
    </row>
    <row r="6" spans="1:6" s="101" customFormat="1" ht="9" customHeight="1" thickBot="1">
      <c r="A6" s="173">
        <v>1</v>
      </c>
      <c r="B6" s="173">
        <v>2</v>
      </c>
      <c r="C6" s="173">
        <v>3</v>
      </c>
      <c r="D6" s="173"/>
      <c r="E6" s="173">
        <v>3</v>
      </c>
      <c r="F6" s="173">
        <v>4</v>
      </c>
    </row>
    <row r="7" spans="1:6" s="101" customFormat="1" ht="19.5" customHeight="1">
      <c r="A7" s="179" t="s">
        <v>366</v>
      </c>
      <c r="B7" s="180" t="s">
        <v>382</v>
      </c>
      <c r="C7" s="102"/>
      <c r="D7" s="102"/>
      <c r="E7" s="162">
        <v>66245029</v>
      </c>
      <c r="F7" s="162">
        <v>84142108</v>
      </c>
    </row>
    <row r="8" spans="1:6" s="101" customFormat="1" ht="19.5" customHeight="1">
      <c r="A8" s="181" t="s">
        <v>370</v>
      </c>
      <c r="B8" s="182" t="s">
        <v>383</v>
      </c>
      <c r="C8" s="103"/>
      <c r="D8" s="103"/>
      <c r="E8" s="163">
        <v>65341530</v>
      </c>
      <c r="F8" s="163">
        <v>87606877</v>
      </c>
    </row>
    <row r="9" spans="1:6" s="101" customFormat="1" ht="19.5" customHeight="1" hidden="1">
      <c r="A9" s="183"/>
      <c r="B9" s="184"/>
      <c r="C9" s="103"/>
      <c r="D9" s="103"/>
      <c r="E9" s="163"/>
      <c r="F9" s="163"/>
    </row>
    <row r="10" spans="1:6" s="101" customFormat="1" ht="19.5" customHeight="1">
      <c r="A10" s="181"/>
      <c r="B10" s="182" t="s">
        <v>411</v>
      </c>
      <c r="C10" s="103"/>
      <c r="D10" s="103"/>
      <c r="E10" s="163">
        <f>E7-E8</f>
        <v>903499</v>
      </c>
      <c r="F10" s="163">
        <f>F7-F8</f>
        <v>-3464769</v>
      </c>
    </row>
    <row r="11" spans="1:6" s="101" customFormat="1" ht="0.75" customHeight="1" thickBot="1">
      <c r="A11" s="185"/>
      <c r="B11" s="180"/>
      <c r="C11" s="102"/>
      <c r="D11" s="102"/>
      <c r="E11" s="162"/>
      <c r="F11" s="162"/>
    </row>
    <row r="12" spans="1:6" s="101" customFormat="1" ht="19.5" customHeight="1" thickBot="1">
      <c r="A12" s="186"/>
      <c r="B12" s="187" t="s">
        <v>419</v>
      </c>
      <c r="C12" s="104"/>
      <c r="D12" s="104"/>
      <c r="E12" s="164">
        <f>E13-E23</f>
        <v>-903499</v>
      </c>
      <c r="F12" s="164">
        <f>F13-F23</f>
        <v>3464769</v>
      </c>
    </row>
    <row r="13" spans="1:6" s="101" customFormat="1" ht="19.5" customHeight="1" thickBot="1">
      <c r="A13" s="188" t="s">
        <v>371</v>
      </c>
      <c r="B13" s="189" t="s">
        <v>397</v>
      </c>
      <c r="C13" s="105"/>
      <c r="D13" s="105"/>
      <c r="E13" s="165">
        <f>SUM(E14:E22)</f>
        <v>7163813</v>
      </c>
      <c r="F13" s="165">
        <f>SUM(F14:F22)</f>
        <v>7700483</v>
      </c>
    </row>
    <row r="14" spans="1:6" s="101" customFormat="1" ht="19.5" customHeight="1">
      <c r="A14" s="190" t="s">
        <v>367</v>
      </c>
      <c r="B14" s="191" t="s">
        <v>310</v>
      </c>
      <c r="C14" s="106" t="s">
        <v>407</v>
      </c>
      <c r="D14" s="203" t="s">
        <v>407</v>
      </c>
      <c r="E14" s="166">
        <v>4749027</v>
      </c>
      <c r="F14" s="166">
        <f>-F10+F23-F22-F19</f>
        <v>3042914</v>
      </c>
    </row>
    <row r="15" spans="1:6" s="101" customFormat="1" ht="19.5" customHeight="1">
      <c r="A15" s="192" t="s">
        <v>368</v>
      </c>
      <c r="B15" s="193" t="s">
        <v>412</v>
      </c>
      <c r="C15" s="107" t="s">
        <v>407</v>
      </c>
      <c r="D15" s="204" t="s">
        <v>407</v>
      </c>
      <c r="E15" s="167">
        <v>0</v>
      </c>
      <c r="F15" s="167">
        <v>0</v>
      </c>
    </row>
    <row r="16" spans="1:6" s="101" customFormat="1" ht="31.5" customHeight="1">
      <c r="A16" s="181" t="s">
        <v>369</v>
      </c>
      <c r="B16" s="194" t="s">
        <v>311</v>
      </c>
      <c r="C16" s="108"/>
      <c r="D16" s="205" t="s">
        <v>312</v>
      </c>
      <c r="E16" s="167">
        <v>0</v>
      </c>
      <c r="F16" s="167">
        <v>0</v>
      </c>
    </row>
    <row r="17" spans="1:6" s="101" customFormat="1" ht="19.5" customHeight="1">
      <c r="A17" s="181" t="s">
        <v>358</v>
      </c>
      <c r="B17" s="195" t="s">
        <v>398</v>
      </c>
      <c r="C17" s="108" t="s">
        <v>408</v>
      </c>
      <c r="D17" s="205" t="s">
        <v>313</v>
      </c>
      <c r="E17" s="167">
        <v>0</v>
      </c>
      <c r="F17" s="167">
        <v>0</v>
      </c>
    </row>
    <row r="18" spans="1:6" s="101" customFormat="1" ht="19.5" customHeight="1">
      <c r="A18" s="181" t="s">
        <v>373</v>
      </c>
      <c r="B18" s="195" t="s">
        <v>399</v>
      </c>
      <c r="C18" s="108" t="s">
        <v>409</v>
      </c>
      <c r="D18" s="205" t="s">
        <v>314</v>
      </c>
      <c r="E18" s="167">
        <v>0</v>
      </c>
      <c r="F18" s="167">
        <v>0</v>
      </c>
    </row>
    <row r="19" spans="1:6" s="101" customFormat="1" ht="21.75" customHeight="1">
      <c r="A19" s="181" t="s">
        <v>377</v>
      </c>
      <c r="B19" s="195" t="s">
        <v>384</v>
      </c>
      <c r="C19" s="108" t="s">
        <v>410</v>
      </c>
      <c r="D19" s="205" t="s">
        <v>410</v>
      </c>
      <c r="E19" s="167">
        <v>0</v>
      </c>
      <c r="F19" s="167">
        <v>903499</v>
      </c>
    </row>
    <row r="20" spans="1:6" s="101" customFormat="1" ht="19.5" customHeight="1">
      <c r="A20" s="181" t="s">
        <v>387</v>
      </c>
      <c r="B20" s="195" t="s">
        <v>315</v>
      </c>
      <c r="C20" s="108"/>
      <c r="D20" s="205" t="s">
        <v>316</v>
      </c>
      <c r="E20" s="167">
        <v>0</v>
      </c>
      <c r="F20" s="167">
        <v>0</v>
      </c>
    </row>
    <row r="21" spans="1:6" s="101" customFormat="1" ht="19.5" customHeight="1">
      <c r="A21" s="196" t="s">
        <v>396</v>
      </c>
      <c r="B21" s="197" t="s">
        <v>317</v>
      </c>
      <c r="C21" s="106"/>
      <c r="D21" s="204" t="s">
        <v>318</v>
      </c>
      <c r="E21" s="167">
        <v>0</v>
      </c>
      <c r="F21" s="167">
        <v>0</v>
      </c>
    </row>
    <row r="22" spans="1:6" s="101" customFormat="1" ht="19.5" customHeight="1" thickBot="1">
      <c r="A22" s="196" t="s">
        <v>435</v>
      </c>
      <c r="B22" s="197" t="s">
        <v>319</v>
      </c>
      <c r="C22" s="109" t="s">
        <v>408</v>
      </c>
      <c r="D22" s="204" t="s">
        <v>408</v>
      </c>
      <c r="E22" s="168">
        <v>2414786</v>
      </c>
      <c r="F22" s="168">
        <f>3686213+67857</f>
        <v>3754070</v>
      </c>
    </row>
    <row r="23" spans="1:6" s="101" customFormat="1" ht="19.5" customHeight="1" thickBot="1">
      <c r="A23" s="188" t="s">
        <v>390</v>
      </c>
      <c r="B23" s="198" t="s">
        <v>400</v>
      </c>
      <c r="C23" s="110"/>
      <c r="D23" s="188"/>
      <c r="E23" s="165">
        <f>SUM(E24:E31)</f>
        <v>8067312</v>
      </c>
      <c r="F23" s="165">
        <f>SUM(F24:F31)</f>
        <v>4235714</v>
      </c>
    </row>
    <row r="24" spans="1:6" s="101" customFormat="1" ht="19.5" customHeight="1">
      <c r="A24" s="190" t="s">
        <v>367</v>
      </c>
      <c r="B24" s="199" t="s">
        <v>386</v>
      </c>
      <c r="C24" s="111" t="s">
        <v>402</v>
      </c>
      <c r="D24" s="206" t="s">
        <v>402</v>
      </c>
      <c r="E24" s="169">
        <f>1781600-304000</f>
        <v>1477600</v>
      </c>
      <c r="F24" s="169">
        <f>4100000+67860-3+67857</f>
        <v>4235714</v>
      </c>
    </row>
    <row r="25" spans="1:6" s="101" customFormat="1" ht="19.5" customHeight="1">
      <c r="A25" s="181" t="s">
        <v>368</v>
      </c>
      <c r="B25" s="182" t="s">
        <v>406</v>
      </c>
      <c r="C25" s="112"/>
      <c r="D25" s="205" t="s">
        <v>402</v>
      </c>
      <c r="E25" s="170"/>
      <c r="F25" s="170"/>
    </row>
    <row r="26" spans="1:6" s="101" customFormat="1" ht="45">
      <c r="A26" s="181" t="s">
        <v>369</v>
      </c>
      <c r="B26" s="200" t="s">
        <v>320</v>
      </c>
      <c r="C26" s="112"/>
      <c r="D26" s="205" t="s">
        <v>321</v>
      </c>
      <c r="E26" s="170"/>
      <c r="F26" s="170"/>
    </row>
    <row r="27" spans="1:6" s="101" customFormat="1" ht="19.5" customHeight="1">
      <c r="A27" s="181" t="s">
        <v>358</v>
      </c>
      <c r="B27" s="182" t="s">
        <v>322</v>
      </c>
      <c r="C27" s="112" t="s">
        <v>424</v>
      </c>
      <c r="D27" s="205" t="s">
        <v>424</v>
      </c>
      <c r="E27" s="170">
        <v>0</v>
      </c>
      <c r="F27" s="170">
        <v>0</v>
      </c>
    </row>
    <row r="28" spans="1:6" s="101" customFormat="1" ht="19.5" customHeight="1">
      <c r="A28" s="181" t="s">
        <v>373</v>
      </c>
      <c r="B28" s="182" t="s">
        <v>323</v>
      </c>
      <c r="C28" s="112" t="s">
        <v>404</v>
      </c>
      <c r="D28" s="205" t="s">
        <v>404</v>
      </c>
      <c r="E28" s="170">
        <v>4589712</v>
      </c>
      <c r="F28" s="170">
        <v>0</v>
      </c>
    </row>
    <row r="29" spans="1:6" s="101" customFormat="1" ht="17.25" customHeight="1">
      <c r="A29" s="181" t="s">
        <v>377</v>
      </c>
      <c r="B29" s="182" t="s">
        <v>385</v>
      </c>
      <c r="C29" s="112" t="s">
        <v>405</v>
      </c>
      <c r="D29" s="205" t="s">
        <v>405</v>
      </c>
      <c r="E29" s="170">
        <v>2000000</v>
      </c>
      <c r="F29" s="170">
        <v>0</v>
      </c>
    </row>
    <row r="30" spans="1:6" s="101" customFormat="1" ht="17.25" customHeight="1">
      <c r="A30" s="181" t="s">
        <v>387</v>
      </c>
      <c r="B30" s="182" t="s">
        <v>348</v>
      </c>
      <c r="C30" s="112"/>
      <c r="D30" s="205" t="s">
        <v>324</v>
      </c>
      <c r="E30" s="170"/>
      <c r="F30" s="170"/>
    </row>
    <row r="31" spans="1:6" s="101" customFormat="1" ht="17.25" customHeight="1" thickBot="1">
      <c r="A31" s="201" t="s">
        <v>396</v>
      </c>
      <c r="B31" s="202" t="s">
        <v>401</v>
      </c>
      <c r="C31" s="112" t="s">
        <v>403</v>
      </c>
      <c r="D31" s="207" t="s">
        <v>403</v>
      </c>
      <c r="E31" s="171">
        <v>0</v>
      </c>
      <c r="F31" s="171">
        <v>0</v>
      </c>
    </row>
    <row r="32" spans="1:6" ht="19.5" customHeight="1">
      <c r="A32" s="4"/>
      <c r="B32" s="5"/>
      <c r="C32" s="5"/>
      <c r="D32" s="5"/>
      <c r="E32" s="28"/>
      <c r="F32" s="28"/>
    </row>
    <row r="33" spans="1:6" ht="30" hidden="1">
      <c r="A33" s="16" t="s">
        <v>413</v>
      </c>
      <c r="B33" s="19" t="s">
        <v>425</v>
      </c>
      <c r="C33" s="17"/>
      <c r="D33" s="17"/>
      <c r="E33" s="31">
        <f>E23</f>
        <v>8067312</v>
      </c>
      <c r="F33" s="34">
        <f>F23</f>
        <v>4235714</v>
      </c>
    </row>
    <row r="34" spans="1:6" ht="30" hidden="1">
      <c r="A34" s="9" t="s">
        <v>414</v>
      </c>
      <c r="B34" s="18" t="s">
        <v>420</v>
      </c>
      <c r="C34" s="13"/>
      <c r="D34" s="13"/>
      <c r="E34" s="32">
        <f>E7-E33</f>
        <v>58177717</v>
      </c>
      <c r="F34" s="35">
        <f>F7-F33</f>
        <v>79906394</v>
      </c>
    </row>
    <row r="35" spans="1:6" ht="30" hidden="1">
      <c r="A35" s="9" t="s">
        <v>415</v>
      </c>
      <c r="B35" s="18" t="s">
        <v>416</v>
      </c>
      <c r="C35" s="13"/>
      <c r="D35" s="13"/>
      <c r="E35" s="32">
        <f>E8-E34</f>
        <v>7163813</v>
      </c>
      <c r="F35" s="35">
        <f>F8-F34</f>
        <v>7700483</v>
      </c>
    </row>
    <row r="36" spans="1:6" ht="45.75" hidden="1" thickBot="1">
      <c r="A36" s="10" t="s">
        <v>417</v>
      </c>
      <c r="B36" s="14" t="s">
        <v>418</v>
      </c>
      <c r="C36" s="15"/>
      <c r="D36" s="15"/>
      <c r="E36" s="33">
        <f>SUM(E13)</f>
        <v>7163813</v>
      </c>
      <c r="F36" s="36">
        <f>SUM(F13)</f>
        <v>7700483</v>
      </c>
    </row>
    <row r="37" spans="1:6" ht="12.75">
      <c r="A37" s="3"/>
      <c r="E37" s="29"/>
      <c r="F37" s="29"/>
    </row>
    <row r="38" spans="1:6" ht="12.75">
      <c r="A38" s="3"/>
      <c r="E38" s="29"/>
      <c r="F38" s="29"/>
    </row>
    <row r="39" spans="5:6" s="12" customFormat="1" ht="15">
      <c r="E39" s="30"/>
      <c r="F39" s="30"/>
    </row>
    <row r="40" spans="1:6" ht="12.75">
      <c r="A40" s="3"/>
      <c r="E40" s="29"/>
      <c r="F40" s="29"/>
    </row>
    <row r="41" spans="1:6" ht="12.75">
      <c r="A41" s="3"/>
      <c r="E41" s="29"/>
      <c r="F41" s="29"/>
    </row>
    <row r="42" spans="1:6" ht="12.75">
      <c r="A42" s="3"/>
      <c r="E42" s="29"/>
      <c r="F42" s="29"/>
    </row>
    <row r="43" spans="1:6" ht="12.75">
      <c r="A43" s="3"/>
      <c r="E43" s="29"/>
      <c r="F43" s="29"/>
    </row>
    <row r="44" spans="1:6" ht="12.75">
      <c r="A44" s="3"/>
      <c r="E44" s="29"/>
      <c r="F44" s="29"/>
    </row>
    <row r="45" spans="1:6" ht="12.75">
      <c r="A45" s="3"/>
      <c r="E45" s="29"/>
      <c r="F45" s="29"/>
    </row>
    <row r="46" spans="1:6" ht="12.75">
      <c r="A46" s="3"/>
      <c r="E46" s="29"/>
      <c r="F46" s="29"/>
    </row>
    <row r="47" spans="1:6" ht="12.75">
      <c r="A47" s="3"/>
      <c r="E47" s="29"/>
      <c r="F47" s="29"/>
    </row>
    <row r="48" spans="5:6" ht="12.75">
      <c r="E48" s="29"/>
      <c r="F48" s="29"/>
    </row>
    <row r="49" spans="5:6" ht="12.75">
      <c r="E49" s="29"/>
      <c r="F49" s="29"/>
    </row>
    <row r="50" spans="5:6" ht="12.75">
      <c r="E50" s="29"/>
      <c r="F50" s="29"/>
    </row>
    <row r="51" spans="5:6" ht="12.75">
      <c r="E51" s="29"/>
      <c r="F51" s="29"/>
    </row>
    <row r="52" spans="5:6" ht="12.75">
      <c r="E52" s="29"/>
      <c r="F52" s="29"/>
    </row>
    <row r="53" spans="5:6" ht="12.75">
      <c r="E53" s="29"/>
      <c r="F53" s="29"/>
    </row>
    <row r="54" spans="5:6" ht="12.75">
      <c r="E54" s="29"/>
      <c r="F54" s="29"/>
    </row>
    <row r="55" spans="5:6" ht="12.75">
      <c r="E55" s="29"/>
      <c r="F55" s="29"/>
    </row>
    <row r="56" spans="5:6" ht="12.75">
      <c r="E56" s="29"/>
      <c r="F56" s="29"/>
    </row>
    <row r="57" spans="5:6" ht="12.75">
      <c r="E57" s="29"/>
      <c r="F57" s="29"/>
    </row>
    <row r="58" spans="5:6" ht="12.75">
      <c r="E58" s="29"/>
      <c r="F58" s="29"/>
    </row>
    <row r="59" spans="5:6" ht="12.75">
      <c r="E59" s="29"/>
      <c r="F59" s="29"/>
    </row>
    <row r="60" spans="5:6" ht="12.75">
      <c r="E60" s="29"/>
      <c r="F60" s="29"/>
    </row>
    <row r="61" spans="5:6" ht="12.75">
      <c r="E61" s="29"/>
      <c r="F61" s="29"/>
    </row>
    <row r="62" spans="5:6" ht="12.75">
      <c r="E62" s="29"/>
      <c r="F62" s="29"/>
    </row>
    <row r="63" spans="5:6" ht="12.75">
      <c r="E63" s="29"/>
      <c r="F63" s="29"/>
    </row>
    <row r="64" spans="5:6" ht="12.75">
      <c r="E64" s="29"/>
      <c r="F64" s="29"/>
    </row>
    <row r="65" spans="5:6" ht="12.75">
      <c r="E65" s="29"/>
      <c r="F65" s="29"/>
    </row>
    <row r="66" spans="5:6" ht="12.75">
      <c r="E66" s="29"/>
      <c r="F66" s="29"/>
    </row>
    <row r="67" spans="5:6" ht="12.75">
      <c r="E67" s="29"/>
      <c r="F67" s="29"/>
    </row>
    <row r="68" spans="5:6" ht="12.75">
      <c r="E68" s="29"/>
      <c r="F68" s="29"/>
    </row>
    <row r="69" spans="5:6" ht="12.75">
      <c r="E69" s="29"/>
      <c r="F69" s="29"/>
    </row>
    <row r="70" spans="5:6" ht="12.75">
      <c r="E70" s="29"/>
      <c r="F70" s="29"/>
    </row>
    <row r="71" spans="5:6" ht="12.75">
      <c r="E71" s="29"/>
      <c r="F71" s="29"/>
    </row>
    <row r="72" spans="5:6" ht="12.75">
      <c r="E72" s="29"/>
      <c r="F72" s="29"/>
    </row>
    <row r="73" spans="5:6" ht="12.75">
      <c r="E73" s="29"/>
      <c r="F73" s="29"/>
    </row>
    <row r="74" spans="5:6" ht="12.75">
      <c r="E74" s="29"/>
      <c r="F74" s="29"/>
    </row>
    <row r="75" spans="5:6" ht="12.75">
      <c r="E75" s="29"/>
      <c r="F75" s="29"/>
    </row>
    <row r="76" spans="5:6" ht="12.75">
      <c r="E76" s="29"/>
      <c r="F76" s="29"/>
    </row>
    <row r="77" spans="5:6" ht="12.75">
      <c r="E77" s="29"/>
      <c r="F77" s="29"/>
    </row>
    <row r="78" spans="5:6" ht="12.75">
      <c r="E78" s="29"/>
      <c r="F78" s="29"/>
    </row>
    <row r="79" spans="5:6" ht="12.75">
      <c r="E79" s="29"/>
      <c r="F79" s="29"/>
    </row>
    <row r="80" spans="5:6" ht="12.75">
      <c r="E80" s="29"/>
      <c r="F80" s="29"/>
    </row>
    <row r="81" spans="5:6" ht="12.75">
      <c r="E81" s="29"/>
      <c r="F81" s="29"/>
    </row>
    <row r="82" spans="5:6" ht="12.75">
      <c r="E82" s="29"/>
      <c r="F82" s="29"/>
    </row>
  </sheetData>
  <mergeCells count="2">
    <mergeCell ref="E4:F4"/>
    <mergeCell ref="A1:F2"/>
  </mergeCells>
  <printOptions horizontalCentered="1" verticalCentered="1"/>
  <pageMargins left="0.68" right="0.27" top="0.43" bottom="0.5905511811023623" header="0.57" footer="0.5118110236220472"/>
  <pageSetup horizontalDpi="600" verticalDpi="600" orientation="portrait" paperSize="9" r:id="rId1"/>
  <headerFooter alignWithMargins="0">
    <oddHeader>&amp;RZałącznik nr 2
do Uchwały Rady Powiatu Nr   XXIX/208/09
z dnia 19 sierpnia 2009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indexed="14"/>
  </sheetPr>
  <dimension ref="A1:S35"/>
  <sheetViews>
    <sheetView zoomScale="80" zoomScaleNormal="80" workbookViewId="0" topLeftCell="A1">
      <selection activeCell="A8" sqref="A8:Q8"/>
    </sheetView>
  </sheetViews>
  <sheetFormatPr defaultColWidth="9.00390625" defaultRowHeight="12.75"/>
  <cols>
    <col min="1" max="1" width="5.625" style="37" customWidth="1"/>
    <col min="2" max="2" width="8.375" style="37" customWidth="1"/>
    <col min="3" max="3" width="34.375" style="37" customWidth="1"/>
    <col min="4" max="4" width="8.00390625" style="42" hidden="1" customWidth="1"/>
    <col min="5" max="5" width="13.00390625" style="37" customWidth="1"/>
    <col min="6" max="6" width="11.625" style="37" hidden="1" customWidth="1"/>
    <col min="7" max="7" width="12.125" style="37" hidden="1" customWidth="1"/>
    <col min="8" max="8" width="11.875" style="40" customWidth="1"/>
    <col min="9" max="9" width="9.75390625" style="37" customWidth="1"/>
    <col min="10" max="10" width="9.625" style="37" customWidth="1"/>
    <col min="11" max="11" width="2.875" style="37" customWidth="1"/>
    <col min="12" max="12" width="10.875" style="37" customWidth="1"/>
    <col min="13" max="13" width="14.875" style="37" customWidth="1"/>
    <col min="14" max="14" width="10.00390625" style="37" hidden="1" customWidth="1"/>
    <col min="15" max="15" width="12.00390625" style="37" customWidth="1"/>
    <col min="16" max="16" width="11.625" style="37" customWidth="1"/>
    <col min="17" max="17" width="13.875" style="37" customWidth="1"/>
    <col min="18" max="18" width="9.125" style="37" customWidth="1"/>
    <col min="19" max="19" width="9.875" style="37" bestFit="1" customWidth="1"/>
    <col min="20" max="16384" width="9.125" style="37" customWidth="1"/>
  </cols>
  <sheetData>
    <row r="1" spans="13:17" ht="16.5" customHeight="1">
      <c r="M1" s="39"/>
      <c r="N1" s="39"/>
      <c r="O1" s="39"/>
      <c r="P1" s="39"/>
      <c r="Q1" s="27" t="s">
        <v>46</v>
      </c>
    </row>
    <row r="2" spans="13:17" ht="15" customHeight="1">
      <c r="M2" s="38"/>
      <c r="N2" s="38"/>
      <c r="O2" s="38"/>
      <c r="P2" s="38"/>
      <c r="Q2" s="38" t="s">
        <v>445</v>
      </c>
    </row>
    <row r="3" spans="13:17" ht="12" customHeight="1">
      <c r="M3" s="38"/>
      <c r="N3" s="38"/>
      <c r="O3" s="38"/>
      <c r="P3" s="38"/>
      <c r="Q3" s="38" t="s">
        <v>125</v>
      </c>
    </row>
    <row r="4" spans="14:16" ht="3.75" customHeight="1">
      <c r="N4" s="21"/>
      <c r="O4" s="21"/>
      <c r="P4" s="22"/>
    </row>
    <row r="5" spans="14:16" ht="1.5" customHeight="1">
      <c r="N5" s="21"/>
      <c r="O5" s="21"/>
      <c r="P5" s="22"/>
    </row>
    <row r="6" spans="14:16" ht="16.5" customHeight="1" hidden="1">
      <c r="N6" s="21"/>
      <c r="O6" s="21"/>
      <c r="P6" s="22"/>
    </row>
    <row r="7" spans="1:17" s="47" customFormat="1" ht="9" customHeight="1">
      <c r="A7" s="590"/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</row>
    <row r="8" spans="1:17" s="47" customFormat="1" ht="17.25" customHeight="1">
      <c r="A8" s="590" t="s">
        <v>261</v>
      </c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</row>
    <row r="9" ht="15" customHeight="1">
      <c r="Q9" s="48" t="s">
        <v>423</v>
      </c>
    </row>
    <row r="10" spans="1:17" ht="12.75" customHeight="1">
      <c r="A10" s="591" t="s">
        <v>359</v>
      </c>
      <c r="B10" s="591" t="s">
        <v>360</v>
      </c>
      <c r="C10" s="591" t="s">
        <v>277</v>
      </c>
      <c r="D10" s="591" t="s">
        <v>25</v>
      </c>
      <c r="E10" s="591" t="s">
        <v>278</v>
      </c>
      <c r="F10" s="591" t="s">
        <v>26</v>
      </c>
      <c r="G10" s="591" t="s">
        <v>27</v>
      </c>
      <c r="H10" s="594" t="s">
        <v>284</v>
      </c>
      <c r="I10" s="595"/>
      <c r="J10" s="595"/>
      <c r="K10" s="595"/>
      <c r="L10" s="595"/>
      <c r="M10" s="595"/>
      <c r="N10" s="595"/>
      <c r="O10" s="595"/>
      <c r="P10" s="595"/>
      <c r="Q10" s="591" t="s">
        <v>218</v>
      </c>
    </row>
    <row r="11" spans="1:17" ht="12.75">
      <c r="A11" s="592"/>
      <c r="B11" s="592"/>
      <c r="C11" s="592"/>
      <c r="D11" s="593"/>
      <c r="E11" s="592"/>
      <c r="F11" s="592"/>
      <c r="G11" s="592"/>
      <c r="H11" s="591" t="s">
        <v>197</v>
      </c>
      <c r="I11" s="591" t="s">
        <v>285</v>
      </c>
      <c r="J11" s="596"/>
      <c r="K11" s="596"/>
      <c r="L11" s="596"/>
      <c r="M11" s="596"/>
      <c r="N11" s="591" t="s">
        <v>28</v>
      </c>
      <c r="O11" s="591" t="s">
        <v>137</v>
      </c>
      <c r="P11" s="591" t="s">
        <v>196</v>
      </c>
      <c r="Q11" s="593"/>
    </row>
    <row r="12" spans="1:17" ht="52.5" customHeight="1">
      <c r="A12" s="592"/>
      <c r="B12" s="592"/>
      <c r="C12" s="592"/>
      <c r="D12" s="593"/>
      <c r="E12" s="592"/>
      <c r="F12" s="592"/>
      <c r="G12" s="592"/>
      <c r="H12" s="591"/>
      <c r="I12" s="130" t="s">
        <v>281</v>
      </c>
      <c r="J12" s="130" t="s">
        <v>29</v>
      </c>
      <c r="K12" s="591" t="s">
        <v>282</v>
      </c>
      <c r="L12" s="591"/>
      <c r="M12" s="130" t="s">
        <v>283</v>
      </c>
      <c r="N12" s="591"/>
      <c r="O12" s="591"/>
      <c r="P12" s="591"/>
      <c r="Q12" s="593"/>
    </row>
    <row r="13" spans="1:17" ht="12.75">
      <c r="A13" s="65" t="s">
        <v>367</v>
      </c>
      <c r="B13" s="65" t="s">
        <v>368</v>
      </c>
      <c r="C13" s="65" t="s">
        <v>369</v>
      </c>
      <c r="D13" s="65" t="s">
        <v>358</v>
      </c>
      <c r="E13" s="65" t="s">
        <v>358</v>
      </c>
      <c r="F13" s="65" t="s">
        <v>373</v>
      </c>
      <c r="G13" s="65" t="s">
        <v>377</v>
      </c>
      <c r="H13" s="65" t="s">
        <v>373</v>
      </c>
      <c r="I13" s="65" t="s">
        <v>377</v>
      </c>
      <c r="J13" s="65" t="s">
        <v>387</v>
      </c>
      <c r="K13" s="597" t="s">
        <v>396</v>
      </c>
      <c r="L13" s="598"/>
      <c r="M13" s="65" t="s">
        <v>435</v>
      </c>
      <c r="N13" s="65" t="s">
        <v>436</v>
      </c>
      <c r="O13" s="65" t="s">
        <v>436</v>
      </c>
      <c r="P13" s="65" t="s">
        <v>279</v>
      </c>
      <c r="Q13" s="65" t="s">
        <v>280</v>
      </c>
    </row>
    <row r="14" spans="1:17" ht="12.75">
      <c r="A14" s="158">
        <v>600</v>
      </c>
      <c r="B14" s="158">
        <v>60014</v>
      </c>
      <c r="C14" s="23" t="s">
        <v>439</v>
      </c>
      <c r="D14" s="132"/>
      <c r="E14" s="161">
        <f aca="true" t="shared" si="0" ref="E14:M14">SUM(E15:E25)</f>
        <v>27777270</v>
      </c>
      <c r="F14" s="161">
        <f t="shared" si="0"/>
        <v>0</v>
      </c>
      <c r="G14" s="161">
        <f t="shared" si="0"/>
        <v>0</v>
      </c>
      <c r="H14" s="161">
        <f t="shared" si="0"/>
        <v>10820703</v>
      </c>
      <c r="I14" s="161">
        <f t="shared" si="0"/>
        <v>1134302</v>
      </c>
      <c r="J14" s="161">
        <f t="shared" si="0"/>
        <v>0</v>
      </c>
      <c r="K14" s="161"/>
      <c r="L14" s="161">
        <f t="shared" si="0"/>
        <v>2873764</v>
      </c>
      <c r="M14" s="161">
        <f t="shared" si="0"/>
        <v>6812637</v>
      </c>
      <c r="N14" s="161" t="e">
        <f>SUM(#REF!)</f>
        <v>#REF!</v>
      </c>
      <c r="O14" s="161">
        <f>SUM(O15:O25)</f>
        <v>13556742</v>
      </c>
      <c r="P14" s="161">
        <f>SUM(P15:P25)</f>
        <v>13149484</v>
      </c>
      <c r="Q14" s="23"/>
    </row>
    <row r="15" spans="1:17" ht="38.25" customHeight="1">
      <c r="A15" s="582"/>
      <c r="B15" s="582"/>
      <c r="C15" s="569" t="s">
        <v>253</v>
      </c>
      <c r="D15" s="570"/>
      <c r="E15" s="588">
        <v>579204</v>
      </c>
      <c r="F15" s="571"/>
      <c r="G15" s="571"/>
      <c r="H15" s="588">
        <v>100000</v>
      </c>
      <c r="I15" s="588">
        <v>100000</v>
      </c>
      <c r="J15" s="588">
        <v>0</v>
      </c>
      <c r="K15" s="587"/>
      <c r="L15" s="587">
        <v>0</v>
      </c>
      <c r="M15" s="588">
        <v>0</v>
      </c>
      <c r="N15" s="588"/>
      <c r="O15" s="588">
        <v>120000</v>
      </c>
      <c r="P15" s="588">
        <v>158998</v>
      </c>
      <c r="Q15" s="586" t="s">
        <v>434</v>
      </c>
    </row>
    <row r="16" spans="1:17" ht="12.75">
      <c r="A16" s="583"/>
      <c r="B16" s="583"/>
      <c r="C16" s="569"/>
      <c r="D16" s="570"/>
      <c r="E16" s="588"/>
      <c r="F16" s="571"/>
      <c r="G16" s="571"/>
      <c r="H16" s="588"/>
      <c r="I16" s="588"/>
      <c r="J16" s="588"/>
      <c r="K16" s="587"/>
      <c r="L16" s="587"/>
      <c r="M16" s="588"/>
      <c r="N16" s="588"/>
      <c r="O16" s="588"/>
      <c r="P16" s="588"/>
      <c r="Q16" s="586"/>
    </row>
    <row r="17" spans="1:17" ht="15.75" customHeight="1">
      <c r="A17" s="583"/>
      <c r="B17" s="583"/>
      <c r="C17" s="569"/>
      <c r="D17" s="570"/>
      <c r="E17" s="589"/>
      <c r="F17" s="572"/>
      <c r="G17" s="572"/>
      <c r="H17" s="589"/>
      <c r="I17" s="589"/>
      <c r="J17" s="589"/>
      <c r="K17" s="587"/>
      <c r="L17" s="587"/>
      <c r="M17" s="589"/>
      <c r="N17" s="589"/>
      <c r="O17" s="589"/>
      <c r="P17" s="589"/>
      <c r="Q17" s="586"/>
    </row>
    <row r="18" spans="1:17" ht="16.5" customHeight="1">
      <c r="A18" s="583"/>
      <c r="B18" s="583"/>
      <c r="C18" s="569" t="s">
        <v>153</v>
      </c>
      <c r="D18" s="570"/>
      <c r="E18" s="588">
        <v>7774273</v>
      </c>
      <c r="F18" s="571"/>
      <c r="G18" s="571"/>
      <c r="H18" s="588">
        <f>SUM(I18,L18,M18)</f>
        <v>23420</v>
      </c>
      <c r="I18" s="588">
        <v>2787</v>
      </c>
      <c r="J18" s="588">
        <v>0</v>
      </c>
      <c r="K18" s="587" t="s">
        <v>112</v>
      </c>
      <c r="L18" s="587">
        <v>5574</v>
      </c>
      <c r="M18" s="588">
        <v>15059</v>
      </c>
      <c r="N18" s="588"/>
      <c r="O18" s="588">
        <v>2582300</v>
      </c>
      <c r="P18" s="588">
        <v>2583524</v>
      </c>
      <c r="Q18" s="586"/>
    </row>
    <row r="19" spans="1:17" ht="16.5" customHeight="1">
      <c r="A19" s="583"/>
      <c r="B19" s="583"/>
      <c r="C19" s="569"/>
      <c r="D19" s="570"/>
      <c r="E19" s="588"/>
      <c r="F19" s="571"/>
      <c r="G19" s="571"/>
      <c r="H19" s="588"/>
      <c r="I19" s="588"/>
      <c r="J19" s="588"/>
      <c r="K19" s="587"/>
      <c r="L19" s="587"/>
      <c r="M19" s="588"/>
      <c r="N19" s="588"/>
      <c r="O19" s="588"/>
      <c r="P19" s="588"/>
      <c r="Q19" s="586"/>
    </row>
    <row r="20" spans="1:17" ht="21.75" customHeight="1">
      <c r="A20" s="583"/>
      <c r="B20" s="583"/>
      <c r="C20" s="569"/>
      <c r="D20" s="570"/>
      <c r="E20" s="589"/>
      <c r="F20" s="572"/>
      <c r="G20" s="572"/>
      <c r="H20" s="589"/>
      <c r="I20" s="589"/>
      <c r="J20" s="589"/>
      <c r="K20" s="587"/>
      <c r="L20" s="587"/>
      <c r="M20" s="589"/>
      <c r="N20" s="589"/>
      <c r="O20" s="589"/>
      <c r="P20" s="589"/>
      <c r="Q20" s="586"/>
    </row>
    <row r="21" spans="1:17" ht="41.25" customHeight="1">
      <c r="A21" s="583"/>
      <c r="B21" s="583"/>
      <c r="C21" s="516" t="s">
        <v>201</v>
      </c>
      <c r="D21" s="371"/>
      <c r="E21" s="326" t="s">
        <v>443</v>
      </c>
      <c r="F21" s="420"/>
      <c r="G21" s="420"/>
      <c r="H21" s="258">
        <v>300000</v>
      </c>
      <c r="I21" s="258">
        <v>30000</v>
      </c>
      <c r="J21" s="258">
        <v>0</v>
      </c>
      <c r="K21" s="258" t="s">
        <v>112</v>
      </c>
      <c r="L21" s="258">
        <v>35580</v>
      </c>
      <c r="M21" s="258">
        <v>234420</v>
      </c>
      <c r="N21" s="258"/>
      <c r="O21" s="258">
        <v>5606372</v>
      </c>
      <c r="P21" s="258">
        <v>6776962</v>
      </c>
      <c r="Q21" s="586"/>
    </row>
    <row r="22" spans="1:19" ht="70.5" customHeight="1">
      <c r="A22" s="583"/>
      <c r="B22" s="583"/>
      <c r="C22" s="516" t="s">
        <v>200</v>
      </c>
      <c r="D22" s="371"/>
      <c r="E22" s="257">
        <v>4223077</v>
      </c>
      <c r="F22" s="420"/>
      <c r="G22" s="420"/>
      <c r="H22" s="258">
        <f>SUM(I22,L22,M22)</f>
        <v>4182817</v>
      </c>
      <c r="I22" s="258">
        <v>340642</v>
      </c>
      <c r="J22" s="258">
        <v>0</v>
      </c>
      <c r="K22" s="258" t="s">
        <v>112</v>
      </c>
      <c r="L22" s="258">
        <v>1457681</v>
      </c>
      <c r="M22" s="258">
        <f>2443498-59004</f>
        <v>2384494</v>
      </c>
      <c r="N22" s="258"/>
      <c r="O22" s="258">
        <v>0</v>
      </c>
      <c r="P22" s="258">
        <v>0</v>
      </c>
      <c r="Q22" s="586"/>
      <c r="S22" s="66"/>
    </row>
    <row r="23" spans="1:19" ht="66.75" customHeight="1">
      <c r="A23" s="584"/>
      <c r="B23" s="584"/>
      <c r="C23" s="516" t="s">
        <v>254</v>
      </c>
      <c r="D23" s="371"/>
      <c r="E23" s="257">
        <v>4647075</v>
      </c>
      <c r="F23" s="420"/>
      <c r="G23" s="420"/>
      <c r="H23" s="258">
        <f>SUM(I23,L23,M23)</f>
        <v>4592575</v>
      </c>
      <c r="I23" s="258">
        <v>435684</v>
      </c>
      <c r="J23" s="258">
        <v>0</v>
      </c>
      <c r="K23" s="258" t="s">
        <v>112</v>
      </c>
      <c r="L23" s="258">
        <v>1064551</v>
      </c>
      <c r="M23" s="258">
        <f>3170224-77884</f>
        <v>3092340</v>
      </c>
      <c r="N23" s="258"/>
      <c r="O23" s="258">
        <v>0</v>
      </c>
      <c r="P23" s="258">
        <v>0</v>
      </c>
      <c r="Q23" s="586"/>
      <c r="S23" s="66"/>
    </row>
    <row r="24" spans="1:17" ht="53.25" customHeight="1">
      <c r="A24" s="585">
        <v>600</v>
      </c>
      <c r="B24" s="585">
        <v>60014</v>
      </c>
      <c r="C24" s="516" t="s">
        <v>151</v>
      </c>
      <c r="D24" s="321"/>
      <c r="E24" s="257">
        <v>5053641</v>
      </c>
      <c r="F24" s="498"/>
      <c r="G24" s="498"/>
      <c r="H24" s="258">
        <f>SUM(I24:M24)</f>
        <v>1551891</v>
      </c>
      <c r="I24" s="257">
        <v>155189</v>
      </c>
      <c r="J24" s="257">
        <v>0</v>
      </c>
      <c r="K24" s="258" t="s">
        <v>112</v>
      </c>
      <c r="L24" s="258">
        <v>310378</v>
      </c>
      <c r="M24" s="257">
        <v>1086324</v>
      </c>
      <c r="N24" s="279"/>
      <c r="O24" s="257">
        <v>3448070</v>
      </c>
      <c r="P24" s="279">
        <v>0</v>
      </c>
      <c r="Q24" s="586" t="s">
        <v>434</v>
      </c>
    </row>
    <row r="25" spans="1:17" ht="72" customHeight="1">
      <c r="A25" s="585"/>
      <c r="B25" s="585"/>
      <c r="C25" s="516" t="s">
        <v>255</v>
      </c>
      <c r="D25" s="321"/>
      <c r="E25" s="257">
        <v>5500000</v>
      </c>
      <c r="F25" s="498"/>
      <c r="G25" s="498"/>
      <c r="H25" s="257">
        <v>70000</v>
      </c>
      <c r="I25" s="257">
        <v>70000</v>
      </c>
      <c r="J25" s="257">
        <v>0</v>
      </c>
      <c r="K25" s="258"/>
      <c r="L25" s="258">
        <v>0</v>
      </c>
      <c r="M25" s="279">
        <v>0</v>
      </c>
      <c r="N25" s="279"/>
      <c r="O25" s="257">
        <v>1800000</v>
      </c>
      <c r="P25" s="257">
        <v>3630000</v>
      </c>
      <c r="Q25" s="586"/>
    </row>
    <row r="26" spans="1:17" s="47" customFormat="1" ht="18" customHeight="1">
      <c r="A26" s="128">
        <v>801</v>
      </c>
      <c r="B26" s="128">
        <v>80130</v>
      </c>
      <c r="C26" s="69" t="s">
        <v>444</v>
      </c>
      <c r="D26" s="218"/>
      <c r="E26" s="161">
        <f aca="true" t="shared" si="1" ref="E26:J28">SUM(E27)</f>
        <v>6064608</v>
      </c>
      <c r="F26" s="161">
        <f t="shared" si="1"/>
        <v>0</v>
      </c>
      <c r="G26" s="161">
        <f t="shared" si="1"/>
        <v>0</v>
      </c>
      <c r="H26" s="161">
        <f t="shared" si="1"/>
        <v>2360745</v>
      </c>
      <c r="I26" s="161">
        <f t="shared" si="1"/>
        <v>2360745</v>
      </c>
      <c r="J26" s="161">
        <f t="shared" si="1"/>
        <v>0</v>
      </c>
      <c r="K26" s="573">
        <v>0</v>
      </c>
      <c r="L26" s="574"/>
      <c r="M26" s="161">
        <v>0</v>
      </c>
      <c r="N26" s="161" t="e">
        <f>SUM(#REF!)</f>
        <v>#REF!</v>
      </c>
      <c r="O26" s="161">
        <f>SUM(O27)</f>
        <v>3695610</v>
      </c>
      <c r="P26" s="161">
        <v>0</v>
      </c>
      <c r="Q26" s="69"/>
    </row>
    <row r="27" spans="1:17" ht="56.25" customHeight="1">
      <c r="A27" s="423"/>
      <c r="B27" s="424"/>
      <c r="C27" s="419" t="s">
        <v>199</v>
      </c>
      <c r="D27" s="421"/>
      <c r="E27" s="335">
        <v>6064608</v>
      </c>
      <c r="F27" s="359"/>
      <c r="G27" s="359"/>
      <c r="H27" s="366">
        <v>2360745</v>
      </c>
      <c r="I27" s="422">
        <v>2360745</v>
      </c>
      <c r="J27" s="422">
        <v>0</v>
      </c>
      <c r="K27" s="361"/>
      <c r="L27" s="366">
        <v>0</v>
      </c>
      <c r="M27" s="418">
        <v>0</v>
      </c>
      <c r="N27" s="363"/>
      <c r="O27" s="335">
        <v>3695610</v>
      </c>
      <c r="P27" s="335"/>
      <c r="Q27" s="324" t="s">
        <v>202</v>
      </c>
    </row>
    <row r="28" spans="1:17" s="47" customFormat="1" ht="18" customHeight="1">
      <c r="A28" s="128">
        <v>801</v>
      </c>
      <c r="B28" s="128">
        <v>80140</v>
      </c>
      <c r="C28" s="69" t="s">
        <v>444</v>
      </c>
      <c r="D28" s="218"/>
      <c r="E28" s="161">
        <f t="shared" si="1"/>
        <v>1738471</v>
      </c>
      <c r="F28" s="161">
        <f t="shared" si="1"/>
        <v>0</v>
      </c>
      <c r="G28" s="161">
        <f t="shared" si="1"/>
        <v>0</v>
      </c>
      <c r="H28" s="161">
        <f t="shared" si="1"/>
        <v>1495146</v>
      </c>
      <c r="I28" s="161">
        <f t="shared" si="1"/>
        <v>371226</v>
      </c>
      <c r="J28" s="161">
        <f t="shared" si="1"/>
        <v>0</v>
      </c>
      <c r="K28" s="573">
        <v>0</v>
      </c>
      <c r="L28" s="574"/>
      <c r="M28" s="161">
        <f>SUM(M29)</f>
        <v>1123920</v>
      </c>
      <c r="N28" s="161" t="e">
        <f>SUM(#REF!)</f>
        <v>#REF!</v>
      </c>
      <c r="O28" s="161">
        <f>SUM(O29)</f>
        <v>243325</v>
      </c>
      <c r="P28" s="161">
        <v>0</v>
      </c>
      <c r="Q28" s="69"/>
    </row>
    <row r="29" spans="1:17" ht="63.75">
      <c r="A29" s="423"/>
      <c r="B29" s="424"/>
      <c r="C29" s="419" t="s">
        <v>94</v>
      </c>
      <c r="D29" s="421"/>
      <c r="E29" s="335">
        <f>H29+O29</f>
        <v>1738471</v>
      </c>
      <c r="F29" s="359"/>
      <c r="G29" s="359"/>
      <c r="H29" s="366">
        <f>SUM(I29:M29)</f>
        <v>1495146</v>
      </c>
      <c r="I29" s="422">
        <v>371226</v>
      </c>
      <c r="J29" s="422">
        <v>0</v>
      </c>
      <c r="K29" s="361"/>
      <c r="L29" s="366">
        <v>0</v>
      </c>
      <c r="M29" s="497">
        <v>1123920</v>
      </c>
      <c r="N29" s="335"/>
      <c r="O29" s="335">
        <v>243325</v>
      </c>
      <c r="P29" s="335">
        <v>0</v>
      </c>
      <c r="Q29" s="324" t="s">
        <v>90</v>
      </c>
    </row>
    <row r="30" spans="1:17" ht="12.75">
      <c r="A30" s="575" t="s">
        <v>325</v>
      </c>
      <c r="B30" s="575"/>
      <c r="C30" s="575"/>
      <c r="D30" s="575"/>
      <c r="E30" s="266">
        <f aca="true" t="shared" si="2" ref="E30:J30">SUM(E28,E14,E26)</f>
        <v>35580349</v>
      </c>
      <c r="F30" s="266">
        <f t="shared" si="2"/>
        <v>0</v>
      </c>
      <c r="G30" s="266">
        <f t="shared" si="2"/>
        <v>0</v>
      </c>
      <c r="H30" s="266">
        <f t="shared" si="2"/>
        <v>14676594</v>
      </c>
      <c r="I30" s="266">
        <f t="shared" si="2"/>
        <v>3866273</v>
      </c>
      <c r="J30" s="266">
        <f t="shared" si="2"/>
        <v>0</v>
      </c>
      <c r="K30" s="576">
        <f>SUM(L14)</f>
        <v>2873764</v>
      </c>
      <c r="L30" s="576"/>
      <c r="M30" s="382">
        <f>SUM(M28,M14,M26)</f>
        <v>7936557</v>
      </c>
      <c r="N30" s="382" t="e">
        <f>SUM(N28,N14)</f>
        <v>#REF!</v>
      </c>
      <c r="O30" s="382">
        <f>SUM(O28,O14,O26)</f>
        <v>17495677</v>
      </c>
      <c r="P30" s="382">
        <f>SUM(P28,P14,P26)</f>
        <v>13149484</v>
      </c>
      <c r="Q30" s="159" t="s">
        <v>47</v>
      </c>
    </row>
    <row r="31" spans="1:17" ht="27.75" customHeight="1">
      <c r="A31" s="569" t="s">
        <v>290</v>
      </c>
      <c r="B31" s="569"/>
      <c r="C31" s="569"/>
      <c r="D31" s="569"/>
      <c r="E31" s="266">
        <f aca="true" t="shared" si="3" ref="E31:J31">SUM(E30)</f>
        <v>35580349</v>
      </c>
      <c r="F31" s="266">
        <f t="shared" si="3"/>
        <v>0</v>
      </c>
      <c r="G31" s="266">
        <f t="shared" si="3"/>
        <v>0</v>
      </c>
      <c r="H31" s="266">
        <f t="shared" si="3"/>
        <v>14676594</v>
      </c>
      <c r="I31" s="266">
        <f t="shared" si="3"/>
        <v>3866273</v>
      </c>
      <c r="J31" s="266">
        <f t="shared" si="3"/>
        <v>0</v>
      </c>
      <c r="K31" s="576">
        <f>SUM(K30)</f>
        <v>2873764</v>
      </c>
      <c r="L31" s="576"/>
      <c r="M31" s="266">
        <f>SUM(M30)</f>
        <v>7936557</v>
      </c>
      <c r="N31" s="266" t="e">
        <f>SUM(N30)</f>
        <v>#REF!</v>
      </c>
      <c r="O31" s="266">
        <f>SUM(O30)</f>
        <v>17495677</v>
      </c>
      <c r="P31" s="266">
        <f>SUM(P30)</f>
        <v>13149484</v>
      </c>
      <c r="Q31" s="159" t="s">
        <v>47</v>
      </c>
    </row>
    <row r="32" ht="28.5" customHeight="1"/>
    <row r="33" spans="1:2" ht="12.75">
      <c r="A33" s="42" t="s">
        <v>1</v>
      </c>
      <c r="B33" s="37" t="s">
        <v>2</v>
      </c>
    </row>
    <row r="34" ht="9" customHeight="1">
      <c r="A34" s="42"/>
    </row>
    <row r="35" spans="1:2" ht="12.75">
      <c r="A35" s="42" t="s">
        <v>0</v>
      </c>
      <c r="B35" s="37" t="s">
        <v>442</v>
      </c>
    </row>
  </sheetData>
  <mergeCells count="58">
    <mergeCell ref="D15:D17"/>
    <mergeCell ref="E15:E17"/>
    <mergeCell ref="F15:F17"/>
    <mergeCell ref="G15:G17"/>
    <mergeCell ref="K26:L26"/>
    <mergeCell ref="H15:H17"/>
    <mergeCell ref="I15:I17"/>
    <mergeCell ref="J15:J17"/>
    <mergeCell ref="K28:L28"/>
    <mergeCell ref="A30:D30"/>
    <mergeCell ref="K30:L30"/>
    <mergeCell ref="A31:D31"/>
    <mergeCell ref="K31:L31"/>
    <mergeCell ref="P15:P17"/>
    <mergeCell ref="O18:O20"/>
    <mergeCell ref="P18:P20"/>
    <mergeCell ref="Q15:Q23"/>
    <mergeCell ref="K13:L13"/>
    <mergeCell ref="C18:C20"/>
    <mergeCell ref="D18:D20"/>
    <mergeCell ref="E18:E20"/>
    <mergeCell ref="F18:F20"/>
    <mergeCell ref="G18:G20"/>
    <mergeCell ref="H18:H20"/>
    <mergeCell ref="I18:I20"/>
    <mergeCell ref="J18:J20"/>
    <mergeCell ref="C15:C17"/>
    <mergeCell ref="Q10:Q12"/>
    <mergeCell ref="H11:H12"/>
    <mergeCell ref="I11:M11"/>
    <mergeCell ref="N11:N12"/>
    <mergeCell ref="O11:O12"/>
    <mergeCell ref="P11:P12"/>
    <mergeCell ref="K12:L12"/>
    <mergeCell ref="A7:Q7"/>
    <mergeCell ref="A8:Q8"/>
    <mergeCell ref="A10:A12"/>
    <mergeCell ref="B10:B12"/>
    <mergeCell ref="C10:C12"/>
    <mergeCell ref="D10:D12"/>
    <mergeCell ref="E10:E12"/>
    <mergeCell ref="F10:F12"/>
    <mergeCell ref="G10:G12"/>
    <mergeCell ref="H10:P10"/>
    <mergeCell ref="Q24:Q25"/>
    <mergeCell ref="L18:L20"/>
    <mergeCell ref="L15:L17"/>
    <mergeCell ref="K15:K17"/>
    <mergeCell ref="K18:K20"/>
    <mergeCell ref="M18:M20"/>
    <mergeCell ref="N18:N20"/>
    <mergeCell ref="M15:M17"/>
    <mergeCell ref="N15:N17"/>
    <mergeCell ref="O15:O17"/>
    <mergeCell ref="B15:B23"/>
    <mergeCell ref="A15:A23"/>
    <mergeCell ref="B24:B25"/>
    <mergeCell ref="A24:A25"/>
  </mergeCells>
  <printOptions/>
  <pageMargins left="0.41" right="0.29" top="0.82" bottom="0.83" header="0.82" footer="0.34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tabColor indexed="14"/>
  </sheetPr>
  <dimension ref="A1:O47"/>
  <sheetViews>
    <sheetView workbookViewId="0" topLeftCell="A1">
      <selection activeCell="Q17" sqref="Q17"/>
    </sheetView>
  </sheetViews>
  <sheetFormatPr defaultColWidth="9.00390625" defaultRowHeight="12.75"/>
  <cols>
    <col min="1" max="1" width="5.00390625" style="37" customWidth="1"/>
    <col min="2" max="2" width="6.75390625" style="37" customWidth="1"/>
    <col min="3" max="3" width="31.00390625" style="37" customWidth="1"/>
    <col min="4" max="4" width="8.00390625" style="42" hidden="1" customWidth="1"/>
    <col min="5" max="5" width="10.75390625" style="37" customWidth="1"/>
    <col min="6" max="6" width="11.625" style="37" hidden="1" customWidth="1"/>
    <col min="7" max="7" width="12.125" style="37" hidden="1" customWidth="1"/>
    <col min="8" max="8" width="10.25390625" style="40" customWidth="1"/>
    <col min="9" max="9" width="9.125" style="37" customWidth="1"/>
    <col min="10" max="10" width="9.625" style="37" customWidth="1"/>
    <col min="11" max="11" width="2.875" style="37" customWidth="1"/>
    <col min="12" max="12" width="11.375" style="37" customWidth="1"/>
    <col min="13" max="13" width="14.375" style="37" customWidth="1"/>
    <col min="14" max="14" width="10.00390625" style="37" hidden="1" customWidth="1"/>
    <col min="15" max="15" width="16.375" style="37" customWidth="1"/>
    <col min="16" max="16384" width="9.125" style="37" customWidth="1"/>
  </cols>
  <sheetData>
    <row r="1" spans="13:15" ht="16.5" customHeight="1">
      <c r="M1" s="39"/>
      <c r="N1" s="39"/>
      <c r="O1" s="27" t="s">
        <v>126</v>
      </c>
    </row>
    <row r="2" spans="12:15" ht="15" customHeight="1">
      <c r="L2" s="92"/>
      <c r="M2" s="515"/>
      <c r="N2" s="515"/>
      <c r="O2" s="38" t="s">
        <v>445</v>
      </c>
    </row>
    <row r="3" spans="13:15" ht="12" customHeight="1">
      <c r="M3" s="38"/>
      <c r="N3" s="38"/>
      <c r="O3" s="38" t="s">
        <v>125</v>
      </c>
    </row>
    <row r="4" ht="3.75" customHeight="1">
      <c r="N4" s="21"/>
    </row>
    <row r="5" ht="1.5" customHeight="1">
      <c r="N5" s="21"/>
    </row>
    <row r="6" ht="16.5" customHeight="1" hidden="1">
      <c r="N6" s="21"/>
    </row>
    <row r="7" spans="1:15" s="47" customFormat="1" ht="5.25" customHeight="1">
      <c r="A7" s="590"/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</row>
    <row r="8" spans="1:15" s="47" customFormat="1" ht="17.25" customHeight="1">
      <c r="A8" s="590" t="s">
        <v>184</v>
      </c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</row>
    <row r="9" ht="13.5" customHeight="1">
      <c r="O9" s="48" t="s">
        <v>423</v>
      </c>
    </row>
    <row r="10" spans="1:15" s="24" customFormat="1" ht="12.75">
      <c r="A10" s="591" t="s">
        <v>359</v>
      </c>
      <c r="B10" s="591" t="s">
        <v>360</v>
      </c>
      <c r="C10" s="591" t="s">
        <v>142</v>
      </c>
      <c r="D10" s="591" t="s">
        <v>25</v>
      </c>
      <c r="E10" s="591" t="s">
        <v>278</v>
      </c>
      <c r="F10" s="591" t="s">
        <v>26</v>
      </c>
      <c r="G10" s="591" t="s">
        <v>27</v>
      </c>
      <c r="H10" s="594" t="s">
        <v>284</v>
      </c>
      <c r="I10" s="551"/>
      <c r="J10" s="551"/>
      <c r="K10" s="551"/>
      <c r="L10" s="551"/>
      <c r="M10" s="551"/>
      <c r="N10" s="551"/>
      <c r="O10" s="591" t="s">
        <v>218</v>
      </c>
    </row>
    <row r="11" spans="1:15" s="49" customFormat="1" ht="12.75" customHeight="1">
      <c r="A11" s="592"/>
      <c r="B11" s="592"/>
      <c r="C11" s="592"/>
      <c r="D11" s="593"/>
      <c r="E11" s="592"/>
      <c r="F11" s="592"/>
      <c r="G11" s="592"/>
      <c r="H11" s="591" t="s">
        <v>197</v>
      </c>
      <c r="I11" s="591" t="s">
        <v>285</v>
      </c>
      <c r="J11" s="548"/>
      <c r="K11" s="548"/>
      <c r="L11" s="548"/>
      <c r="M11" s="548"/>
      <c r="N11" s="591" t="s">
        <v>28</v>
      </c>
      <c r="O11" s="593"/>
    </row>
    <row r="12" spans="1:15" s="49" customFormat="1" ht="48">
      <c r="A12" s="592"/>
      <c r="B12" s="592"/>
      <c r="C12" s="592"/>
      <c r="D12" s="593"/>
      <c r="E12" s="592"/>
      <c r="F12" s="592"/>
      <c r="G12" s="592"/>
      <c r="H12" s="591"/>
      <c r="I12" s="130" t="s">
        <v>281</v>
      </c>
      <c r="J12" s="130" t="s">
        <v>29</v>
      </c>
      <c r="K12" s="549" t="s">
        <v>95</v>
      </c>
      <c r="L12" s="550"/>
      <c r="M12" s="130" t="s">
        <v>283</v>
      </c>
      <c r="N12" s="591"/>
      <c r="O12" s="593"/>
    </row>
    <row r="13" spans="1:15" s="49" customFormat="1" ht="12.75">
      <c r="A13" s="65" t="s">
        <v>367</v>
      </c>
      <c r="B13" s="65" t="s">
        <v>368</v>
      </c>
      <c r="C13" s="65" t="s">
        <v>369</v>
      </c>
      <c r="D13" s="65" t="s">
        <v>358</v>
      </c>
      <c r="E13" s="65" t="s">
        <v>358</v>
      </c>
      <c r="F13" s="65" t="s">
        <v>373</v>
      </c>
      <c r="G13" s="65" t="s">
        <v>377</v>
      </c>
      <c r="H13" s="65" t="s">
        <v>373</v>
      </c>
      <c r="I13" s="65" t="s">
        <v>377</v>
      </c>
      <c r="J13" s="65" t="s">
        <v>387</v>
      </c>
      <c r="K13" s="597" t="s">
        <v>396</v>
      </c>
      <c r="L13" s="598"/>
      <c r="M13" s="65" t="s">
        <v>435</v>
      </c>
      <c r="N13" s="65" t="s">
        <v>436</v>
      </c>
      <c r="O13" s="65" t="s">
        <v>280</v>
      </c>
    </row>
    <row r="14" spans="1:15" s="41" customFormat="1" ht="12.75">
      <c r="A14" s="367">
        <v>600</v>
      </c>
      <c r="B14" s="367">
        <v>60014</v>
      </c>
      <c r="C14" s="69" t="s">
        <v>439</v>
      </c>
      <c r="D14" s="218"/>
      <c r="E14" s="161">
        <f aca="true" t="shared" si="0" ref="E14:J14">SUM(E16:E21)</f>
        <v>3686792</v>
      </c>
      <c r="F14" s="161">
        <f t="shared" si="0"/>
        <v>0</v>
      </c>
      <c r="G14" s="161">
        <f t="shared" si="0"/>
        <v>0</v>
      </c>
      <c r="H14" s="161">
        <f t="shared" si="0"/>
        <v>3686792</v>
      </c>
      <c r="I14" s="161">
        <f t="shared" si="0"/>
        <v>943542</v>
      </c>
      <c r="J14" s="161">
        <f t="shared" si="0"/>
        <v>0</v>
      </c>
      <c r="K14" s="573">
        <f>SUM(L16:L19)</f>
        <v>2743250</v>
      </c>
      <c r="L14" s="574"/>
      <c r="M14" s="161">
        <f>SUM(M15:M15)</f>
        <v>0</v>
      </c>
      <c r="N14" s="161">
        <f>SUM(N15:N15)</f>
        <v>0</v>
      </c>
      <c r="O14" s="69"/>
    </row>
    <row r="15" spans="1:15" s="41" customFormat="1" ht="7.5" customHeight="1" hidden="1">
      <c r="A15" s="368"/>
      <c r="B15" s="369"/>
      <c r="C15" s="340"/>
      <c r="D15" s="325"/>
      <c r="E15" s="363"/>
      <c r="F15" s="363"/>
      <c r="G15" s="363"/>
      <c r="H15" s="363"/>
      <c r="I15" s="363"/>
      <c r="J15" s="363"/>
      <c r="K15" s="546"/>
      <c r="L15" s="547"/>
      <c r="M15" s="363"/>
      <c r="N15" s="363"/>
      <c r="O15" s="325"/>
    </row>
    <row r="16" spans="1:15" s="41" customFormat="1" ht="19.5" customHeight="1">
      <c r="A16" s="368"/>
      <c r="B16" s="369"/>
      <c r="C16" s="559" t="s">
        <v>101</v>
      </c>
      <c r="D16" s="325"/>
      <c r="E16" s="587">
        <v>2730000</v>
      </c>
      <c r="F16" s="258"/>
      <c r="G16" s="258"/>
      <c r="H16" s="588">
        <f>SUM(I16,L16,L17)</f>
        <v>2730000</v>
      </c>
      <c r="I16" s="588">
        <v>682500</v>
      </c>
      <c r="J16" s="588">
        <v>0</v>
      </c>
      <c r="K16" s="258" t="s">
        <v>198</v>
      </c>
      <c r="L16" s="258">
        <v>682500</v>
      </c>
      <c r="M16" s="587">
        <v>0</v>
      </c>
      <c r="N16" s="335"/>
      <c r="O16" s="560" t="s">
        <v>30</v>
      </c>
    </row>
    <row r="17" spans="1:15" s="41" customFormat="1" ht="26.25" customHeight="1">
      <c r="A17" s="368"/>
      <c r="B17" s="369"/>
      <c r="C17" s="559"/>
      <c r="D17" s="325"/>
      <c r="E17" s="587"/>
      <c r="F17" s="258"/>
      <c r="G17" s="258"/>
      <c r="H17" s="588"/>
      <c r="I17" s="588"/>
      <c r="J17" s="588"/>
      <c r="K17" s="258" t="s">
        <v>112</v>
      </c>
      <c r="L17" s="258">
        <v>1365000</v>
      </c>
      <c r="M17" s="587"/>
      <c r="N17" s="335"/>
      <c r="O17" s="561"/>
    </row>
    <row r="18" spans="1:15" s="41" customFormat="1" ht="19.5" customHeight="1">
      <c r="A18" s="368"/>
      <c r="B18" s="369"/>
      <c r="C18" s="559" t="s">
        <v>102</v>
      </c>
      <c r="D18" s="325"/>
      <c r="E18" s="587">
        <v>927750</v>
      </c>
      <c r="F18" s="258"/>
      <c r="G18" s="258"/>
      <c r="H18" s="588">
        <f>SUM(I18,L18,L19)</f>
        <v>927750</v>
      </c>
      <c r="I18" s="588">
        <v>232000</v>
      </c>
      <c r="J18" s="588">
        <v>0</v>
      </c>
      <c r="K18" s="258" t="s">
        <v>198</v>
      </c>
      <c r="L18" s="258">
        <v>232000</v>
      </c>
      <c r="M18" s="587">
        <v>0</v>
      </c>
      <c r="N18" s="335"/>
      <c r="O18" s="561"/>
    </row>
    <row r="19" spans="1:15" s="41" customFormat="1" ht="19.5" customHeight="1">
      <c r="A19" s="368"/>
      <c r="B19" s="369"/>
      <c r="C19" s="559"/>
      <c r="D19" s="325"/>
      <c r="E19" s="587"/>
      <c r="F19" s="258"/>
      <c r="G19" s="258"/>
      <c r="H19" s="588"/>
      <c r="I19" s="588"/>
      <c r="J19" s="588"/>
      <c r="K19" s="258" t="s">
        <v>112</v>
      </c>
      <c r="L19" s="258">
        <v>463750</v>
      </c>
      <c r="M19" s="587"/>
      <c r="N19" s="335"/>
      <c r="O19" s="561"/>
    </row>
    <row r="20" spans="1:15" s="41" customFormat="1" ht="19.5" customHeight="1">
      <c r="A20" s="368"/>
      <c r="B20" s="369"/>
      <c r="C20" s="377" t="s">
        <v>263</v>
      </c>
      <c r="D20" s="325"/>
      <c r="E20" s="258">
        <v>8000</v>
      </c>
      <c r="F20" s="258"/>
      <c r="G20" s="258"/>
      <c r="H20" s="257">
        <v>8000</v>
      </c>
      <c r="I20" s="257">
        <v>8000</v>
      </c>
      <c r="J20" s="257">
        <v>0</v>
      </c>
      <c r="K20" s="258"/>
      <c r="L20" s="258">
        <v>0</v>
      </c>
      <c r="M20" s="258">
        <v>0</v>
      </c>
      <c r="N20" s="335"/>
      <c r="O20" s="561"/>
    </row>
    <row r="21" spans="1:15" s="41" customFormat="1" ht="13.5" customHeight="1">
      <c r="A21" s="368"/>
      <c r="B21" s="369"/>
      <c r="C21" s="377" t="s">
        <v>262</v>
      </c>
      <c r="D21" s="325"/>
      <c r="E21" s="257">
        <v>21042</v>
      </c>
      <c r="F21" s="257"/>
      <c r="G21" s="257"/>
      <c r="H21" s="257">
        <v>21042</v>
      </c>
      <c r="I21" s="257">
        <v>21042</v>
      </c>
      <c r="J21" s="257">
        <v>0</v>
      </c>
      <c r="K21" s="258"/>
      <c r="L21" s="258">
        <v>0</v>
      </c>
      <c r="M21" s="257">
        <v>0</v>
      </c>
      <c r="N21" s="335"/>
      <c r="O21" s="562"/>
    </row>
    <row r="22" spans="1:15" s="62" customFormat="1" ht="12.75">
      <c r="A22" s="218">
        <v>750</v>
      </c>
      <c r="B22" s="218">
        <v>75020</v>
      </c>
      <c r="C22" s="69" t="s">
        <v>440</v>
      </c>
      <c r="D22" s="218"/>
      <c r="E22" s="161">
        <f aca="true" t="shared" si="1" ref="E22:J22">SUM(E23:E28)</f>
        <v>295500</v>
      </c>
      <c r="F22" s="161">
        <f t="shared" si="1"/>
        <v>140500</v>
      </c>
      <c r="G22" s="161">
        <f t="shared" si="1"/>
        <v>140500</v>
      </c>
      <c r="H22" s="161">
        <f t="shared" si="1"/>
        <v>295500</v>
      </c>
      <c r="I22" s="161">
        <f t="shared" si="1"/>
        <v>295500</v>
      </c>
      <c r="J22" s="161">
        <f t="shared" si="1"/>
        <v>0</v>
      </c>
      <c r="K22" s="573">
        <v>0</v>
      </c>
      <c r="L22" s="574"/>
      <c r="M22" s="161">
        <f>SUM(M23:M28)</f>
        <v>0</v>
      </c>
      <c r="N22" s="161" t="e">
        <f>SUM(#REF!)</f>
        <v>#REF!</v>
      </c>
      <c r="O22" s="218"/>
    </row>
    <row r="23" spans="1:15" s="49" customFormat="1" ht="12.75">
      <c r="A23" s="97"/>
      <c r="B23" s="96"/>
      <c r="C23" s="364" t="s">
        <v>185</v>
      </c>
      <c r="D23" s="325"/>
      <c r="E23" s="257">
        <v>30000</v>
      </c>
      <c r="F23" s="257">
        <v>30000</v>
      </c>
      <c r="G23" s="257">
        <v>30000</v>
      </c>
      <c r="H23" s="257">
        <v>30000</v>
      </c>
      <c r="I23" s="257">
        <v>30000</v>
      </c>
      <c r="J23" s="257">
        <v>0</v>
      </c>
      <c r="K23" s="563">
        <v>0</v>
      </c>
      <c r="L23" s="539"/>
      <c r="M23" s="258">
        <v>0</v>
      </c>
      <c r="N23" s="359"/>
      <c r="O23" s="565" t="s">
        <v>350</v>
      </c>
    </row>
    <row r="24" spans="1:15" s="49" customFormat="1" ht="22.5">
      <c r="A24" s="97"/>
      <c r="B24" s="96"/>
      <c r="C24" s="364" t="s">
        <v>211</v>
      </c>
      <c r="D24" s="325"/>
      <c r="E24" s="257">
        <v>85000</v>
      </c>
      <c r="F24" s="257">
        <v>85000</v>
      </c>
      <c r="G24" s="257">
        <v>85000</v>
      </c>
      <c r="H24" s="257">
        <v>85000</v>
      </c>
      <c r="I24" s="257">
        <v>85000</v>
      </c>
      <c r="J24" s="257">
        <v>0</v>
      </c>
      <c r="K24" s="563">
        <v>0</v>
      </c>
      <c r="L24" s="539"/>
      <c r="M24" s="258">
        <v>0</v>
      </c>
      <c r="N24" s="359"/>
      <c r="O24" s="565"/>
    </row>
    <row r="25" spans="1:15" s="49" customFormat="1" ht="33.75">
      <c r="A25" s="97"/>
      <c r="B25" s="96"/>
      <c r="C25" s="364" t="s">
        <v>345</v>
      </c>
      <c r="D25" s="325"/>
      <c r="E25" s="257">
        <v>155000</v>
      </c>
      <c r="F25" s="257"/>
      <c r="G25" s="257"/>
      <c r="H25" s="257">
        <v>155000</v>
      </c>
      <c r="I25" s="257">
        <v>155000</v>
      </c>
      <c r="J25" s="257">
        <v>0</v>
      </c>
      <c r="K25" s="484"/>
      <c r="L25" s="485">
        <v>0</v>
      </c>
      <c r="M25" s="258">
        <v>0</v>
      </c>
      <c r="N25" s="359"/>
      <c r="O25" s="565"/>
    </row>
    <row r="26" spans="1:15" s="49" customFormat="1" ht="12.75">
      <c r="A26" s="97"/>
      <c r="B26" s="96"/>
      <c r="C26" s="364" t="s">
        <v>186</v>
      </c>
      <c r="D26" s="325"/>
      <c r="E26" s="257">
        <v>9000</v>
      </c>
      <c r="F26" s="257">
        <v>9000</v>
      </c>
      <c r="G26" s="257">
        <v>9000</v>
      </c>
      <c r="H26" s="257">
        <v>9000</v>
      </c>
      <c r="I26" s="257">
        <v>9000</v>
      </c>
      <c r="J26" s="257">
        <v>0</v>
      </c>
      <c r="K26" s="563">
        <v>0</v>
      </c>
      <c r="L26" s="539"/>
      <c r="M26" s="258">
        <v>0</v>
      </c>
      <c r="N26" s="359"/>
      <c r="O26" s="565"/>
    </row>
    <row r="27" spans="1:15" s="49" customFormat="1" ht="12.75">
      <c r="A27" s="97"/>
      <c r="B27" s="96"/>
      <c r="C27" s="364" t="s">
        <v>193</v>
      </c>
      <c r="D27" s="325"/>
      <c r="E27" s="257">
        <f>10000-2500</f>
        <v>7500</v>
      </c>
      <c r="F27" s="257">
        <v>10000</v>
      </c>
      <c r="G27" s="257">
        <v>10000</v>
      </c>
      <c r="H27" s="257">
        <v>7500</v>
      </c>
      <c r="I27" s="257">
        <v>7500</v>
      </c>
      <c r="J27" s="257">
        <v>0</v>
      </c>
      <c r="K27" s="563">
        <v>0</v>
      </c>
      <c r="L27" s="539"/>
      <c r="M27" s="258">
        <v>0</v>
      </c>
      <c r="N27" s="359"/>
      <c r="O27" s="565"/>
    </row>
    <row r="28" spans="1:15" s="49" customFormat="1" ht="12.75">
      <c r="A28" s="379"/>
      <c r="B28" s="380"/>
      <c r="C28" s="364" t="s">
        <v>195</v>
      </c>
      <c r="D28" s="325"/>
      <c r="E28" s="257">
        <f>6500+2500</f>
        <v>9000</v>
      </c>
      <c r="F28" s="257">
        <v>6500</v>
      </c>
      <c r="G28" s="257">
        <v>6500</v>
      </c>
      <c r="H28" s="257">
        <v>9000</v>
      </c>
      <c r="I28" s="257">
        <v>9000</v>
      </c>
      <c r="J28" s="257">
        <v>0</v>
      </c>
      <c r="K28" s="563">
        <v>0</v>
      </c>
      <c r="L28" s="539"/>
      <c r="M28" s="258">
        <v>0</v>
      </c>
      <c r="N28" s="359"/>
      <c r="O28" s="566"/>
    </row>
    <row r="29" spans="1:15" s="49" customFormat="1" ht="41.25" customHeight="1">
      <c r="A29" s="129">
        <v>754</v>
      </c>
      <c r="B29" s="129">
        <v>75411</v>
      </c>
      <c r="C29" s="381" t="s">
        <v>441</v>
      </c>
      <c r="D29" s="321"/>
      <c r="E29" s="334">
        <f>SUM(E30:E30)</f>
        <v>730000</v>
      </c>
      <c r="F29" s="334">
        <f>SUM(F31:F31)</f>
        <v>0</v>
      </c>
      <c r="G29" s="334">
        <f>SUM(G31:G31)</f>
        <v>0</v>
      </c>
      <c r="H29" s="334">
        <f>SUM(H30:H30)</f>
        <v>730000</v>
      </c>
      <c r="I29" s="161">
        <f>SUM(I30:I30)</f>
        <v>180000</v>
      </c>
      <c r="J29" s="161">
        <f>SUM(J30)</f>
        <v>0</v>
      </c>
      <c r="K29" s="338"/>
      <c r="L29" s="334">
        <f>SUM(L30:L31)</f>
        <v>550000</v>
      </c>
      <c r="M29" s="161">
        <f>SUM(M30)</f>
        <v>0</v>
      </c>
      <c r="N29" s="161">
        <f>SUM(N31)</f>
        <v>0</v>
      </c>
      <c r="O29" s="564" t="s">
        <v>141</v>
      </c>
    </row>
    <row r="30" spans="1:15" s="49" customFormat="1" ht="15.75" customHeight="1">
      <c r="A30" s="544"/>
      <c r="B30" s="555"/>
      <c r="C30" s="567" t="s">
        <v>212</v>
      </c>
      <c r="D30" s="321"/>
      <c r="E30" s="557">
        <v>730000</v>
      </c>
      <c r="F30" s="334"/>
      <c r="G30" s="334"/>
      <c r="H30" s="557">
        <f>SUM(I30,L30:L31)</f>
        <v>730000</v>
      </c>
      <c r="I30" s="557">
        <v>180000</v>
      </c>
      <c r="J30" s="557">
        <v>0</v>
      </c>
      <c r="K30" s="482" t="s">
        <v>198</v>
      </c>
      <c r="L30" s="483">
        <f>50000+100000</f>
        <v>150000</v>
      </c>
      <c r="M30" s="577">
        <v>0</v>
      </c>
      <c r="N30" s="481"/>
      <c r="O30" s="565"/>
    </row>
    <row r="31" spans="1:15" s="49" customFormat="1" ht="14.25">
      <c r="A31" s="545"/>
      <c r="B31" s="556"/>
      <c r="C31" s="568"/>
      <c r="D31" s="371"/>
      <c r="E31" s="558"/>
      <c r="F31" s="257"/>
      <c r="G31" s="257"/>
      <c r="H31" s="558"/>
      <c r="I31" s="558"/>
      <c r="J31" s="558"/>
      <c r="K31" s="160" t="s">
        <v>112</v>
      </c>
      <c r="L31" s="257">
        <v>400000</v>
      </c>
      <c r="M31" s="578"/>
      <c r="N31" s="336"/>
      <c r="O31" s="566"/>
    </row>
    <row r="32" spans="1:15" s="62" customFormat="1" ht="25.5">
      <c r="A32" s="398"/>
      <c r="B32" s="143"/>
      <c r="C32" s="381" t="s">
        <v>441</v>
      </c>
      <c r="D32" s="218"/>
      <c r="E32" s="161">
        <f aca="true" t="shared" si="2" ref="E32:J36">SUM(E33)</f>
        <v>10000</v>
      </c>
      <c r="F32" s="161">
        <f t="shared" si="2"/>
        <v>0</v>
      </c>
      <c r="G32" s="161">
        <f t="shared" si="2"/>
        <v>0</v>
      </c>
      <c r="H32" s="161">
        <f t="shared" si="2"/>
        <v>10000</v>
      </c>
      <c r="I32" s="161">
        <f t="shared" si="2"/>
        <v>10000</v>
      </c>
      <c r="J32" s="161">
        <f t="shared" si="2"/>
        <v>0</v>
      </c>
      <c r="K32" s="563">
        <v>0</v>
      </c>
      <c r="L32" s="539"/>
      <c r="M32" s="161">
        <f>SUM(M33)</f>
        <v>0</v>
      </c>
      <c r="N32" s="161">
        <f>SUM(N33)</f>
        <v>0</v>
      </c>
      <c r="O32" s="130"/>
    </row>
    <row r="33" spans="1:15" s="62" customFormat="1" ht="24">
      <c r="A33" s="360"/>
      <c r="B33" s="339"/>
      <c r="C33" s="364" t="s">
        <v>187</v>
      </c>
      <c r="D33" s="321"/>
      <c r="E33" s="257">
        <v>10000</v>
      </c>
      <c r="F33" s="257"/>
      <c r="G33" s="257"/>
      <c r="H33" s="257">
        <v>10000</v>
      </c>
      <c r="I33" s="257">
        <v>10000</v>
      </c>
      <c r="J33" s="257">
        <v>0</v>
      </c>
      <c r="K33" s="563">
        <v>0</v>
      </c>
      <c r="L33" s="539"/>
      <c r="M33" s="258">
        <v>0</v>
      </c>
      <c r="N33" s="257"/>
      <c r="O33" s="374" t="s">
        <v>194</v>
      </c>
    </row>
    <row r="34" spans="1:15" s="62" customFormat="1" ht="12.75">
      <c r="A34" s="339">
        <v>801</v>
      </c>
      <c r="B34" s="339">
        <v>80130</v>
      </c>
      <c r="C34" s="72" t="s">
        <v>444</v>
      </c>
      <c r="D34" s="218"/>
      <c r="E34" s="161">
        <f t="shared" si="2"/>
        <v>7000</v>
      </c>
      <c r="F34" s="161">
        <f t="shared" si="2"/>
        <v>0</v>
      </c>
      <c r="G34" s="161">
        <f t="shared" si="2"/>
        <v>0</v>
      </c>
      <c r="H34" s="161">
        <f t="shared" si="2"/>
        <v>7000</v>
      </c>
      <c r="I34" s="161">
        <f t="shared" si="2"/>
        <v>7000</v>
      </c>
      <c r="J34" s="161">
        <f t="shared" si="2"/>
        <v>0</v>
      </c>
      <c r="K34" s="563">
        <v>0</v>
      </c>
      <c r="L34" s="539"/>
      <c r="M34" s="161">
        <f>SUM(M35)</f>
        <v>0</v>
      </c>
      <c r="N34" s="161">
        <f>SUM(N35)</f>
        <v>0</v>
      </c>
      <c r="O34" s="378"/>
    </row>
    <row r="35" spans="1:15" s="62" customFormat="1" ht="12.75">
      <c r="A35" s="337"/>
      <c r="B35" s="129"/>
      <c r="C35" s="362" t="s">
        <v>263</v>
      </c>
      <c r="D35" s="322"/>
      <c r="E35" s="506">
        <v>7000</v>
      </c>
      <c r="F35" s="506"/>
      <c r="G35" s="506"/>
      <c r="H35" s="506">
        <v>7000</v>
      </c>
      <c r="I35" s="506">
        <v>7000</v>
      </c>
      <c r="J35" s="506">
        <v>0</v>
      </c>
      <c r="K35" s="552">
        <v>0</v>
      </c>
      <c r="L35" s="553"/>
      <c r="M35" s="505">
        <v>0</v>
      </c>
      <c r="N35" s="506"/>
      <c r="O35" s="504" t="s">
        <v>264</v>
      </c>
    </row>
    <row r="36" spans="1:15" s="62" customFormat="1" ht="12.75">
      <c r="A36" s="218">
        <v>801</v>
      </c>
      <c r="B36" s="218">
        <v>80140</v>
      </c>
      <c r="C36" s="69" t="s">
        <v>444</v>
      </c>
      <c r="D36" s="218"/>
      <c r="E36" s="161">
        <f t="shared" si="2"/>
        <v>4000</v>
      </c>
      <c r="F36" s="161">
        <f t="shared" si="2"/>
        <v>0</v>
      </c>
      <c r="G36" s="161">
        <f t="shared" si="2"/>
        <v>0</v>
      </c>
      <c r="H36" s="161">
        <f t="shared" si="2"/>
        <v>4000</v>
      </c>
      <c r="I36" s="161">
        <f t="shared" si="2"/>
        <v>4000</v>
      </c>
      <c r="J36" s="161">
        <f t="shared" si="2"/>
        <v>0</v>
      </c>
      <c r="K36" s="563">
        <v>0</v>
      </c>
      <c r="L36" s="539"/>
      <c r="M36" s="161">
        <f>SUM(M37)</f>
        <v>0</v>
      </c>
      <c r="N36" s="161">
        <f>SUM(N37)</f>
        <v>0</v>
      </c>
      <c r="O36" s="130"/>
    </row>
    <row r="37" spans="1:15" s="62" customFormat="1" ht="48">
      <c r="A37" s="337"/>
      <c r="B37" s="129"/>
      <c r="C37" s="362" t="s">
        <v>341</v>
      </c>
      <c r="D37" s="321"/>
      <c r="E37" s="257">
        <v>4000</v>
      </c>
      <c r="F37" s="257"/>
      <c r="G37" s="257"/>
      <c r="H37" s="257">
        <v>4000</v>
      </c>
      <c r="I37" s="257">
        <v>4000</v>
      </c>
      <c r="J37" s="257">
        <v>0</v>
      </c>
      <c r="K37" s="563">
        <v>0</v>
      </c>
      <c r="L37" s="539"/>
      <c r="M37" s="258">
        <v>0</v>
      </c>
      <c r="N37" s="257"/>
      <c r="O37" s="374" t="s">
        <v>342</v>
      </c>
    </row>
    <row r="38" spans="1:15" s="62" customFormat="1" ht="12.75">
      <c r="A38" s="218">
        <v>853</v>
      </c>
      <c r="B38" s="218">
        <v>85333</v>
      </c>
      <c r="C38" s="69" t="s">
        <v>188</v>
      </c>
      <c r="D38" s="218"/>
      <c r="E38" s="161">
        <f aca="true" t="shared" si="3" ref="E38:J38">SUM(E39:E42)</f>
        <v>714000</v>
      </c>
      <c r="F38" s="161">
        <f t="shared" si="3"/>
        <v>0</v>
      </c>
      <c r="G38" s="161">
        <f t="shared" si="3"/>
        <v>0</v>
      </c>
      <c r="H38" s="161">
        <f t="shared" si="3"/>
        <v>714000</v>
      </c>
      <c r="I38" s="161">
        <f t="shared" si="3"/>
        <v>714000</v>
      </c>
      <c r="J38" s="161">
        <f t="shared" si="3"/>
        <v>0</v>
      </c>
      <c r="K38" s="563">
        <v>0</v>
      </c>
      <c r="L38" s="539"/>
      <c r="M38" s="161">
        <f>SUM(M39)</f>
        <v>0</v>
      </c>
      <c r="N38" s="161">
        <f>SUM(N39)</f>
        <v>0</v>
      </c>
      <c r="O38" s="378"/>
    </row>
    <row r="39" spans="1:15" s="62" customFormat="1" ht="12.75">
      <c r="A39" s="337"/>
      <c r="B39" s="129"/>
      <c r="C39" s="370" t="s">
        <v>263</v>
      </c>
      <c r="D39" s="321"/>
      <c r="E39" s="257">
        <v>8000</v>
      </c>
      <c r="F39" s="257"/>
      <c r="G39" s="257"/>
      <c r="H39" s="257">
        <v>8000</v>
      </c>
      <c r="I39" s="257">
        <v>8000</v>
      </c>
      <c r="J39" s="257">
        <v>0</v>
      </c>
      <c r="K39" s="563">
        <v>0</v>
      </c>
      <c r="L39" s="539"/>
      <c r="M39" s="258">
        <v>0</v>
      </c>
      <c r="N39" s="257"/>
      <c r="O39" s="564" t="s">
        <v>189</v>
      </c>
    </row>
    <row r="40" spans="1:15" s="62" customFormat="1" ht="12.75">
      <c r="A40" s="398"/>
      <c r="B40" s="143"/>
      <c r="C40" s="372" t="s">
        <v>213</v>
      </c>
      <c r="D40" s="373"/>
      <c r="E40" s="257">
        <v>6000</v>
      </c>
      <c r="F40" s="257"/>
      <c r="G40" s="257"/>
      <c r="H40" s="257">
        <v>6000</v>
      </c>
      <c r="I40" s="257">
        <v>6000</v>
      </c>
      <c r="J40" s="257">
        <v>0</v>
      </c>
      <c r="K40" s="563">
        <v>0</v>
      </c>
      <c r="L40" s="539"/>
      <c r="M40" s="258">
        <v>0</v>
      </c>
      <c r="N40" s="257"/>
      <c r="O40" s="565"/>
    </row>
    <row r="41" spans="1:15" s="62" customFormat="1" ht="12.75" customHeight="1">
      <c r="A41" s="398"/>
      <c r="B41" s="143"/>
      <c r="C41" s="372" t="s">
        <v>343</v>
      </c>
      <c r="D41" s="373"/>
      <c r="E41" s="257">
        <v>630000</v>
      </c>
      <c r="F41" s="257"/>
      <c r="G41" s="257"/>
      <c r="H41" s="257">
        <v>630000</v>
      </c>
      <c r="I41" s="257">
        <v>630000</v>
      </c>
      <c r="J41" s="257">
        <v>0</v>
      </c>
      <c r="K41" s="563">
        <v>0</v>
      </c>
      <c r="L41" s="539"/>
      <c r="M41" s="258">
        <v>0</v>
      </c>
      <c r="N41" s="257"/>
      <c r="O41" s="565"/>
    </row>
    <row r="42" spans="1:15" s="62" customFormat="1" ht="22.5">
      <c r="A42" s="360"/>
      <c r="B42" s="339"/>
      <c r="C42" s="372" t="s">
        <v>344</v>
      </c>
      <c r="D42" s="373"/>
      <c r="E42" s="257">
        <v>70000</v>
      </c>
      <c r="F42" s="257"/>
      <c r="G42" s="257"/>
      <c r="H42" s="257">
        <v>70000</v>
      </c>
      <c r="I42" s="257">
        <v>70000</v>
      </c>
      <c r="J42" s="257">
        <v>0</v>
      </c>
      <c r="K42" s="563">
        <v>0</v>
      </c>
      <c r="L42" s="539"/>
      <c r="M42" s="258">
        <v>0</v>
      </c>
      <c r="N42" s="257"/>
      <c r="O42" s="566"/>
    </row>
    <row r="43" spans="1:15" s="70" customFormat="1" ht="22.5" customHeight="1">
      <c r="A43" s="540" t="s">
        <v>325</v>
      </c>
      <c r="B43" s="541"/>
      <c r="C43" s="542"/>
      <c r="D43" s="543"/>
      <c r="E43" s="266">
        <f aca="true" t="shared" si="4" ref="E43:J43">SUM(E38,E36,E34,E32,E29,E22,E14)</f>
        <v>5447292</v>
      </c>
      <c r="F43" s="266">
        <f t="shared" si="4"/>
        <v>140500</v>
      </c>
      <c r="G43" s="266">
        <f t="shared" si="4"/>
        <v>140500</v>
      </c>
      <c r="H43" s="266">
        <f t="shared" si="4"/>
        <v>5447292</v>
      </c>
      <c r="I43" s="266">
        <f t="shared" si="4"/>
        <v>2154042</v>
      </c>
      <c r="J43" s="266">
        <f t="shared" si="4"/>
        <v>0</v>
      </c>
      <c r="K43" s="573">
        <f>SUM(L29,K14)</f>
        <v>3293250</v>
      </c>
      <c r="L43" s="574"/>
      <c r="M43" s="266">
        <v>0</v>
      </c>
      <c r="N43" s="266" t="e">
        <f>SUM(N38,N29,N22,#REF!,N14)</f>
        <v>#REF!</v>
      </c>
      <c r="O43" s="159" t="s">
        <v>47</v>
      </c>
    </row>
    <row r="45" ht="12.75">
      <c r="A45" s="37" t="s">
        <v>215</v>
      </c>
    </row>
    <row r="46" ht="12.75">
      <c r="A46" s="37" t="s">
        <v>216</v>
      </c>
    </row>
    <row r="47" ht="12.75">
      <c r="A47" s="37" t="s">
        <v>217</v>
      </c>
    </row>
  </sheetData>
  <mergeCells count="61">
    <mergeCell ref="K35:L35"/>
    <mergeCell ref="K40:L40"/>
    <mergeCell ref="K41:L41"/>
    <mergeCell ref="K39:L39"/>
    <mergeCell ref="A7:O7"/>
    <mergeCell ref="A8:O8"/>
    <mergeCell ref="A10:A12"/>
    <mergeCell ref="B10:B12"/>
    <mergeCell ref="C10:C12"/>
    <mergeCell ref="D10:D12"/>
    <mergeCell ref="E10:E12"/>
    <mergeCell ref="F10:F12"/>
    <mergeCell ref="G10:G12"/>
    <mergeCell ref="H10:N10"/>
    <mergeCell ref="H11:H12"/>
    <mergeCell ref="I11:M11"/>
    <mergeCell ref="N11:N12"/>
    <mergeCell ref="K12:L12"/>
    <mergeCell ref="K15:L15"/>
    <mergeCell ref="K13:L13"/>
    <mergeCell ref="K14:L14"/>
    <mergeCell ref="O10:O12"/>
    <mergeCell ref="K22:L22"/>
    <mergeCell ref="K23:L23"/>
    <mergeCell ref="O23:O28"/>
    <mergeCell ref="K24:L24"/>
    <mergeCell ref="K26:L26"/>
    <mergeCell ref="A43:D43"/>
    <mergeCell ref="K43:L43"/>
    <mergeCell ref="K27:L27"/>
    <mergeCell ref="K28:L28"/>
    <mergeCell ref="K42:L42"/>
    <mergeCell ref="K33:L33"/>
    <mergeCell ref="A30:A31"/>
    <mergeCell ref="I30:I31"/>
    <mergeCell ref="J30:J31"/>
    <mergeCell ref="K34:L34"/>
    <mergeCell ref="O39:O42"/>
    <mergeCell ref="M16:M17"/>
    <mergeCell ref="I18:I19"/>
    <mergeCell ref="J18:J19"/>
    <mergeCell ref="M18:M19"/>
    <mergeCell ref="O16:O21"/>
    <mergeCell ref="K36:L36"/>
    <mergeCell ref="K37:L37"/>
    <mergeCell ref="K38:L38"/>
    <mergeCell ref="K32:L32"/>
    <mergeCell ref="J16:J17"/>
    <mergeCell ref="C18:C19"/>
    <mergeCell ref="E18:E19"/>
    <mergeCell ref="H18:H19"/>
    <mergeCell ref="C16:C17"/>
    <mergeCell ref="E16:E17"/>
    <mergeCell ref="H16:H17"/>
    <mergeCell ref="I16:I17"/>
    <mergeCell ref="M30:M31"/>
    <mergeCell ref="O29:O31"/>
    <mergeCell ref="C30:C31"/>
    <mergeCell ref="B30:B31"/>
    <mergeCell ref="E30:E31"/>
    <mergeCell ref="H30:H31"/>
  </mergeCells>
  <printOptions/>
  <pageMargins left="1.12" right="0.2" top="1.43" bottom="0.62" header="0.5" footer="0.38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tabColor indexed="14"/>
  </sheetPr>
  <dimension ref="A1:R221"/>
  <sheetViews>
    <sheetView workbookViewId="0" topLeftCell="A1">
      <selection activeCell="C15" sqref="C15:Q15"/>
    </sheetView>
  </sheetViews>
  <sheetFormatPr defaultColWidth="9.00390625" defaultRowHeight="12.75"/>
  <cols>
    <col min="1" max="1" width="3.625" style="73" bestFit="1" customWidth="1"/>
    <col min="2" max="2" width="21.875" style="73" customWidth="1"/>
    <col min="3" max="3" width="10.875" style="73" customWidth="1"/>
    <col min="4" max="4" width="9.125" style="73" customWidth="1"/>
    <col min="5" max="5" width="9.25390625" style="73" customWidth="1"/>
    <col min="6" max="6" width="8.375" style="73" customWidth="1"/>
    <col min="7" max="7" width="8.625" style="73" customWidth="1"/>
    <col min="8" max="9" width="8.375" style="73" customWidth="1"/>
    <col min="10" max="10" width="7.75390625" style="73" customWidth="1"/>
    <col min="11" max="11" width="6.75390625" style="73" customWidth="1"/>
    <col min="12" max="12" width="8.875" style="73" bestFit="1" customWidth="1"/>
    <col min="13" max="13" width="8.375" style="73" customWidth="1"/>
    <col min="14" max="14" width="10.625" style="73" customWidth="1"/>
    <col min="15" max="15" width="7.75390625" style="73" customWidth="1"/>
    <col min="16" max="16" width="7.00390625" style="73" bestFit="1" customWidth="1"/>
    <col min="17" max="17" width="7.875" style="73" bestFit="1" customWidth="1"/>
    <col min="18" max="16384" width="10.25390625" style="73" customWidth="1"/>
  </cols>
  <sheetData>
    <row r="1" ht="12">
      <c r="Q1" s="74" t="s">
        <v>48</v>
      </c>
    </row>
    <row r="2" ht="14.25">
      <c r="Q2" s="38" t="s">
        <v>445</v>
      </c>
    </row>
    <row r="3" ht="14.25">
      <c r="Q3" s="38" t="s">
        <v>125</v>
      </c>
    </row>
    <row r="4" ht="11.25" customHeight="1"/>
    <row r="5" spans="1:17" ht="14.25" customHeight="1">
      <c r="A5" s="622" t="s">
        <v>289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</row>
    <row r="7" spans="1:17" s="98" customFormat="1" ht="9.75" customHeight="1">
      <c r="A7" s="623" t="s">
        <v>364</v>
      </c>
      <c r="B7" s="623" t="s">
        <v>49</v>
      </c>
      <c r="C7" s="624" t="s">
        <v>50</v>
      </c>
      <c r="D7" s="624" t="s">
        <v>51</v>
      </c>
      <c r="E7" s="624" t="s">
        <v>52</v>
      </c>
      <c r="F7" s="623" t="s">
        <v>53</v>
      </c>
      <c r="G7" s="623"/>
      <c r="H7" s="623" t="s">
        <v>383</v>
      </c>
      <c r="I7" s="623"/>
      <c r="J7" s="623"/>
      <c r="K7" s="623"/>
      <c r="L7" s="623"/>
      <c r="M7" s="623"/>
      <c r="N7" s="623"/>
      <c r="O7" s="623"/>
      <c r="P7" s="623"/>
      <c r="Q7" s="623"/>
    </row>
    <row r="8" spans="1:17" s="98" customFormat="1" ht="9" customHeight="1">
      <c r="A8" s="623"/>
      <c r="B8" s="623"/>
      <c r="C8" s="624"/>
      <c r="D8" s="624"/>
      <c r="E8" s="624"/>
      <c r="F8" s="624" t="s">
        <v>54</v>
      </c>
      <c r="G8" s="624" t="s">
        <v>55</v>
      </c>
      <c r="H8" s="623" t="s">
        <v>286</v>
      </c>
      <c r="I8" s="623"/>
      <c r="J8" s="623"/>
      <c r="K8" s="623"/>
      <c r="L8" s="623"/>
      <c r="M8" s="623"/>
      <c r="N8" s="623"/>
      <c r="O8" s="623"/>
      <c r="P8" s="623"/>
      <c r="Q8" s="623"/>
    </row>
    <row r="9" spans="1:17" s="98" customFormat="1" ht="9.75" customHeight="1">
      <c r="A9" s="623"/>
      <c r="B9" s="623"/>
      <c r="C9" s="624"/>
      <c r="D9" s="624"/>
      <c r="E9" s="624"/>
      <c r="F9" s="624"/>
      <c r="G9" s="624"/>
      <c r="H9" s="624" t="s">
        <v>219</v>
      </c>
      <c r="I9" s="623" t="s">
        <v>56</v>
      </c>
      <c r="J9" s="623"/>
      <c r="K9" s="623"/>
      <c r="L9" s="623"/>
      <c r="M9" s="623"/>
      <c r="N9" s="623"/>
      <c r="O9" s="623"/>
      <c r="P9" s="623"/>
      <c r="Q9" s="623"/>
    </row>
    <row r="10" spans="1:17" s="98" customFormat="1" ht="12" customHeight="1">
      <c r="A10" s="623"/>
      <c r="B10" s="623"/>
      <c r="C10" s="624"/>
      <c r="D10" s="624"/>
      <c r="E10" s="624"/>
      <c r="F10" s="624"/>
      <c r="G10" s="624"/>
      <c r="H10" s="624"/>
      <c r="I10" s="623" t="s">
        <v>57</v>
      </c>
      <c r="J10" s="623"/>
      <c r="K10" s="623"/>
      <c r="L10" s="623"/>
      <c r="M10" s="623" t="s">
        <v>55</v>
      </c>
      <c r="N10" s="623"/>
      <c r="O10" s="623"/>
      <c r="P10" s="623"/>
      <c r="Q10" s="623"/>
    </row>
    <row r="11" spans="1:17" s="98" customFormat="1" ht="9" customHeight="1">
      <c r="A11" s="623"/>
      <c r="B11" s="623"/>
      <c r="C11" s="624"/>
      <c r="D11" s="624"/>
      <c r="E11" s="624"/>
      <c r="F11" s="624"/>
      <c r="G11" s="624"/>
      <c r="H11" s="624"/>
      <c r="I11" s="624" t="s">
        <v>58</v>
      </c>
      <c r="J11" s="623" t="s">
        <v>59</v>
      </c>
      <c r="K11" s="623"/>
      <c r="L11" s="623"/>
      <c r="M11" s="624" t="s">
        <v>60</v>
      </c>
      <c r="N11" s="624" t="s">
        <v>59</v>
      </c>
      <c r="O11" s="624"/>
      <c r="P11" s="624"/>
      <c r="Q11" s="624"/>
    </row>
    <row r="12" spans="1:17" s="98" customFormat="1" ht="39" customHeight="1">
      <c r="A12" s="623"/>
      <c r="B12" s="623"/>
      <c r="C12" s="624"/>
      <c r="D12" s="624"/>
      <c r="E12" s="624"/>
      <c r="F12" s="624"/>
      <c r="G12" s="624"/>
      <c r="H12" s="624"/>
      <c r="I12" s="624"/>
      <c r="J12" s="260" t="s">
        <v>61</v>
      </c>
      <c r="K12" s="260" t="s">
        <v>62</v>
      </c>
      <c r="L12" s="260" t="s">
        <v>63</v>
      </c>
      <c r="M12" s="624"/>
      <c r="N12" s="261" t="s">
        <v>64</v>
      </c>
      <c r="O12" s="260" t="s">
        <v>61</v>
      </c>
      <c r="P12" s="260" t="s">
        <v>62</v>
      </c>
      <c r="Q12" s="260" t="s">
        <v>65</v>
      </c>
    </row>
    <row r="13" spans="1:17" s="98" customFormat="1" ht="11.25">
      <c r="A13" s="262">
        <v>1</v>
      </c>
      <c r="B13" s="262">
        <v>2</v>
      </c>
      <c r="C13" s="263">
        <v>3</v>
      </c>
      <c r="D13" s="263">
        <v>4</v>
      </c>
      <c r="E13" s="263">
        <v>5</v>
      </c>
      <c r="F13" s="263">
        <v>6</v>
      </c>
      <c r="G13" s="263">
        <v>7</v>
      </c>
      <c r="H13" s="263">
        <v>8</v>
      </c>
      <c r="I13" s="263">
        <v>9</v>
      </c>
      <c r="J13" s="263">
        <v>10</v>
      </c>
      <c r="K13" s="263">
        <v>11</v>
      </c>
      <c r="L13" s="263">
        <v>12</v>
      </c>
      <c r="M13" s="263">
        <v>13</v>
      </c>
      <c r="N13" s="263">
        <v>14</v>
      </c>
      <c r="O13" s="263">
        <v>15</v>
      </c>
      <c r="P13" s="263">
        <v>16</v>
      </c>
      <c r="Q13" s="263">
        <v>17</v>
      </c>
    </row>
    <row r="14" spans="1:17" s="316" customFormat="1" ht="11.25">
      <c r="A14" s="264">
        <v>1</v>
      </c>
      <c r="B14" s="265" t="s">
        <v>66</v>
      </c>
      <c r="C14" s="609" t="s">
        <v>67</v>
      </c>
      <c r="D14" s="610"/>
      <c r="E14" s="315">
        <f>SUM(E19,E28,E37,E46,E65,E74,E83,E92)</f>
        <v>38032328</v>
      </c>
      <c r="F14" s="315">
        <f aca="true" t="shared" si="0" ref="F14:Q14">SUM(F19,F28,F37,F46,F65,F74,F83,F92)</f>
        <v>11455924</v>
      </c>
      <c r="G14" s="315">
        <f t="shared" si="0"/>
        <v>26576404</v>
      </c>
      <c r="H14" s="315">
        <f t="shared" si="0"/>
        <v>12247119</v>
      </c>
      <c r="I14" s="315">
        <f t="shared" si="0"/>
        <v>4310562</v>
      </c>
      <c r="J14" s="315">
        <f t="shared" si="0"/>
        <v>0</v>
      </c>
      <c r="K14" s="315">
        <f t="shared" si="0"/>
        <v>0</v>
      </c>
      <c r="L14" s="315">
        <f t="shared" si="0"/>
        <v>4310562</v>
      </c>
      <c r="M14" s="315">
        <f t="shared" si="0"/>
        <v>7936557</v>
      </c>
      <c r="N14" s="315">
        <f t="shared" si="0"/>
        <v>0</v>
      </c>
      <c r="O14" s="315">
        <f t="shared" si="0"/>
        <v>0</v>
      </c>
      <c r="P14" s="315">
        <f t="shared" si="0"/>
        <v>0</v>
      </c>
      <c r="Q14" s="315">
        <f t="shared" si="0"/>
        <v>7936557</v>
      </c>
    </row>
    <row r="15" spans="1:17" ht="12.75">
      <c r="A15" s="554" t="s">
        <v>68</v>
      </c>
      <c r="B15" s="146" t="s">
        <v>69</v>
      </c>
      <c r="C15" s="599" t="s">
        <v>220</v>
      </c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</row>
    <row r="16" spans="1:17" ht="12.75">
      <c r="A16" s="522"/>
      <c r="B16" s="146" t="s">
        <v>70</v>
      </c>
      <c r="C16" s="527" t="s">
        <v>113</v>
      </c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9"/>
    </row>
    <row r="17" spans="1:17" ht="12.75">
      <c r="A17" s="522"/>
      <c r="B17" s="146" t="s">
        <v>71</v>
      </c>
      <c r="C17" s="527" t="s">
        <v>132</v>
      </c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9"/>
    </row>
    <row r="18" spans="1:18" ht="12.75" customHeight="1">
      <c r="A18" s="522"/>
      <c r="B18" s="146" t="s">
        <v>72</v>
      </c>
      <c r="C18" s="530" t="s">
        <v>150</v>
      </c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2"/>
      <c r="R18" s="317"/>
    </row>
    <row r="19" spans="1:17" ht="11.25">
      <c r="A19" s="522"/>
      <c r="B19" s="146" t="s">
        <v>73</v>
      </c>
      <c r="C19" s="499"/>
      <c r="D19" s="146"/>
      <c r="E19" s="400">
        <f>SUM(F19:G19)</f>
        <v>5053641</v>
      </c>
      <c r="F19" s="400">
        <f>SUM(F20:F21)+16104</f>
        <v>1516092</v>
      </c>
      <c r="G19" s="400">
        <f>SUM(G20:G21)+37576</f>
        <v>3537549</v>
      </c>
      <c r="H19" s="400">
        <f>SUM(I19,M19)</f>
        <v>1551891</v>
      </c>
      <c r="I19" s="400">
        <f>J19+K19+L19</f>
        <v>465567</v>
      </c>
      <c r="J19" s="400">
        <v>0</v>
      </c>
      <c r="K19" s="400">
        <v>0</v>
      </c>
      <c r="L19" s="400">
        <v>465567</v>
      </c>
      <c r="M19" s="400">
        <f>N19+O19+P19+Q19</f>
        <v>1086324</v>
      </c>
      <c r="N19" s="400">
        <v>0</v>
      </c>
      <c r="O19" s="400">
        <v>0</v>
      </c>
      <c r="P19" s="400">
        <v>0</v>
      </c>
      <c r="Q19" s="400">
        <v>1086324</v>
      </c>
    </row>
    <row r="20" spans="1:18" ht="11.25" customHeight="1">
      <c r="A20" s="522"/>
      <c r="B20" s="146" t="s">
        <v>256</v>
      </c>
      <c r="C20" s="533">
        <v>23</v>
      </c>
      <c r="D20" s="536" t="s">
        <v>84</v>
      </c>
      <c r="E20" s="400">
        <f>SUM(F20,G20)</f>
        <v>1551891</v>
      </c>
      <c r="F20" s="400">
        <f>SUM(I19)</f>
        <v>465567</v>
      </c>
      <c r="G20" s="400">
        <f>SUM(M19)</f>
        <v>1086324</v>
      </c>
      <c r="H20" s="625"/>
      <c r="I20" s="625"/>
      <c r="J20" s="625"/>
      <c r="K20" s="625"/>
      <c r="L20" s="625"/>
      <c r="M20" s="625"/>
      <c r="N20" s="625"/>
      <c r="O20" s="625"/>
      <c r="P20" s="625"/>
      <c r="Q20" s="625"/>
      <c r="R20" s="317"/>
    </row>
    <row r="21" spans="1:17" ht="11.25">
      <c r="A21" s="522"/>
      <c r="B21" s="146" t="s">
        <v>287</v>
      </c>
      <c r="C21" s="534"/>
      <c r="D21" s="537"/>
      <c r="E21" s="400">
        <f>SUM(F21,G21)</f>
        <v>3448070</v>
      </c>
      <c r="F21" s="400">
        <v>1034421</v>
      </c>
      <c r="G21" s="400">
        <v>2413649</v>
      </c>
      <c r="H21" s="626"/>
      <c r="I21" s="626"/>
      <c r="J21" s="626"/>
      <c r="K21" s="626"/>
      <c r="L21" s="626"/>
      <c r="M21" s="626"/>
      <c r="N21" s="626"/>
      <c r="O21" s="626"/>
      <c r="P21" s="626"/>
      <c r="Q21" s="626"/>
    </row>
    <row r="22" spans="1:17" ht="11.25">
      <c r="A22" s="522"/>
      <c r="B22" s="146" t="s">
        <v>133</v>
      </c>
      <c r="C22" s="534"/>
      <c r="D22" s="537"/>
      <c r="E22" s="400">
        <f>SUM(F22,G22)</f>
        <v>0</v>
      </c>
      <c r="F22" s="400">
        <v>0</v>
      </c>
      <c r="G22" s="400">
        <v>0</v>
      </c>
      <c r="H22" s="626"/>
      <c r="I22" s="626"/>
      <c r="J22" s="626"/>
      <c r="K22" s="626"/>
      <c r="L22" s="626"/>
      <c r="M22" s="626"/>
      <c r="N22" s="626"/>
      <c r="O22" s="626"/>
      <c r="P22" s="626"/>
      <c r="Q22" s="626"/>
    </row>
    <row r="23" spans="1:17" ht="11.25">
      <c r="A23" s="522"/>
      <c r="B23" s="146" t="s">
        <v>134</v>
      </c>
      <c r="C23" s="534"/>
      <c r="D23" s="537"/>
      <c r="E23" s="400">
        <f>SUM(F23,G23)</f>
        <v>0</v>
      </c>
      <c r="F23" s="400">
        <v>0</v>
      </c>
      <c r="G23" s="400">
        <v>0</v>
      </c>
      <c r="H23" s="626"/>
      <c r="I23" s="626"/>
      <c r="J23" s="626"/>
      <c r="K23" s="626"/>
      <c r="L23" s="626"/>
      <c r="M23" s="626"/>
      <c r="N23" s="626"/>
      <c r="O23" s="626"/>
      <c r="P23" s="626"/>
      <c r="Q23" s="626"/>
    </row>
    <row r="24" spans="1:17" ht="12.75">
      <c r="A24" s="554" t="s">
        <v>221</v>
      </c>
      <c r="B24" s="146" t="s">
        <v>69</v>
      </c>
      <c r="C24" s="599" t="s">
        <v>220</v>
      </c>
      <c r="D24" s="600"/>
      <c r="E24" s="600"/>
      <c r="F24" s="600"/>
      <c r="G24" s="600"/>
      <c r="H24" s="600"/>
      <c r="I24" s="600"/>
      <c r="J24" s="600"/>
      <c r="K24" s="600"/>
      <c r="L24" s="600"/>
      <c r="M24" s="600"/>
      <c r="N24" s="600"/>
      <c r="O24" s="600"/>
      <c r="P24" s="600"/>
      <c r="Q24" s="600"/>
    </row>
    <row r="25" spans="1:17" ht="12.75">
      <c r="A25" s="522"/>
      <c r="B25" s="146" t="s">
        <v>70</v>
      </c>
      <c r="C25" s="527" t="s">
        <v>113</v>
      </c>
      <c r="D25" s="601"/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/>
      <c r="Q25" s="602"/>
    </row>
    <row r="26" spans="1:17" ht="12.75">
      <c r="A26" s="522"/>
      <c r="B26" s="146" t="s">
        <v>71</v>
      </c>
      <c r="C26" s="527" t="s">
        <v>132</v>
      </c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2"/>
    </row>
    <row r="27" spans="1:18" ht="12.75" customHeight="1">
      <c r="A27" s="522"/>
      <c r="B27" s="146" t="s">
        <v>72</v>
      </c>
      <c r="C27" s="530" t="s">
        <v>136</v>
      </c>
      <c r="D27" s="603"/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4"/>
      <c r="R27" s="317"/>
    </row>
    <row r="28" spans="1:17" ht="11.25">
      <c r="A28" s="522"/>
      <c r="B28" s="146" t="s">
        <v>73</v>
      </c>
      <c r="C28" s="499"/>
      <c r="D28" s="146"/>
      <c r="E28" s="400">
        <f>SUM(F28:G28)</f>
        <v>14431171</v>
      </c>
      <c r="F28" s="400">
        <v>3154654</v>
      </c>
      <c r="G28" s="400">
        <v>11276517</v>
      </c>
      <c r="H28" s="400">
        <v>300000</v>
      </c>
      <c r="I28" s="400">
        <v>65580</v>
      </c>
      <c r="J28" s="400">
        <v>0</v>
      </c>
      <c r="K28" s="400">
        <v>0</v>
      </c>
      <c r="L28" s="400">
        <v>65580</v>
      </c>
      <c r="M28" s="400">
        <v>234420</v>
      </c>
      <c r="N28" s="400">
        <v>0</v>
      </c>
      <c r="O28" s="400">
        <v>0</v>
      </c>
      <c r="P28" s="400">
        <v>0</v>
      </c>
      <c r="Q28" s="400">
        <v>234420</v>
      </c>
    </row>
    <row r="29" spans="1:18" ht="11.25" customHeight="1">
      <c r="A29" s="522"/>
      <c r="B29" s="146" t="s">
        <v>256</v>
      </c>
      <c r="C29" s="533">
        <v>23</v>
      </c>
      <c r="D29" s="536" t="s">
        <v>84</v>
      </c>
      <c r="E29" s="400">
        <v>300000</v>
      </c>
      <c r="F29" s="400">
        <v>65580</v>
      </c>
      <c r="G29" s="400">
        <v>234420</v>
      </c>
      <c r="H29" s="625"/>
      <c r="I29" s="625"/>
      <c r="J29" s="625"/>
      <c r="K29" s="625"/>
      <c r="L29" s="625"/>
      <c r="M29" s="625"/>
      <c r="N29" s="625"/>
      <c r="O29" s="625"/>
      <c r="P29" s="625"/>
      <c r="Q29" s="625"/>
      <c r="R29" s="317"/>
    </row>
    <row r="30" spans="1:17" ht="11.25">
      <c r="A30" s="522"/>
      <c r="B30" s="146" t="s">
        <v>287</v>
      </c>
      <c r="C30" s="534"/>
      <c r="D30" s="537"/>
      <c r="E30" s="400">
        <v>5606370</v>
      </c>
      <c r="F30" s="400">
        <v>1225552</v>
      </c>
      <c r="G30" s="400">
        <v>4380818</v>
      </c>
      <c r="H30" s="626"/>
      <c r="I30" s="626"/>
      <c r="J30" s="626"/>
      <c r="K30" s="626"/>
      <c r="L30" s="626"/>
      <c r="M30" s="626"/>
      <c r="N30" s="626"/>
      <c r="O30" s="626"/>
      <c r="P30" s="626"/>
      <c r="Q30" s="626"/>
    </row>
    <row r="31" spans="1:17" ht="11.25">
      <c r="A31" s="522"/>
      <c r="B31" s="146" t="s">
        <v>133</v>
      </c>
      <c r="C31" s="534"/>
      <c r="D31" s="537"/>
      <c r="E31" s="400">
        <v>6776962</v>
      </c>
      <c r="F31" s="400">
        <v>1481444</v>
      </c>
      <c r="G31" s="400">
        <v>5295518</v>
      </c>
      <c r="H31" s="626"/>
      <c r="I31" s="626"/>
      <c r="J31" s="626"/>
      <c r="K31" s="626"/>
      <c r="L31" s="626"/>
      <c r="M31" s="626"/>
      <c r="N31" s="626"/>
      <c r="O31" s="626"/>
      <c r="P31" s="626"/>
      <c r="Q31" s="626"/>
    </row>
    <row r="32" spans="1:17" ht="11.25">
      <c r="A32" s="522"/>
      <c r="B32" s="146" t="s">
        <v>134</v>
      </c>
      <c r="C32" s="534"/>
      <c r="D32" s="537"/>
      <c r="E32" s="400">
        <v>1684029</v>
      </c>
      <c r="F32" s="400">
        <v>368129</v>
      </c>
      <c r="G32" s="400">
        <v>1315900</v>
      </c>
      <c r="H32" s="626"/>
      <c r="I32" s="626"/>
      <c r="J32" s="626"/>
      <c r="K32" s="626"/>
      <c r="L32" s="626"/>
      <c r="M32" s="626"/>
      <c r="N32" s="626"/>
      <c r="O32" s="626"/>
      <c r="P32" s="626"/>
      <c r="Q32" s="626"/>
    </row>
    <row r="33" spans="1:17" s="98" customFormat="1" ht="12.75">
      <c r="A33" s="554" t="s">
        <v>74</v>
      </c>
      <c r="B33" s="146" t="s">
        <v>69</v>
      </c>
      <c r="C33" s="599" t="s">
        <v>220</v>
      </c>
      <c r="D33" s="600"/>
      <c r="E33" s="600"/>
      <c r="F33" s="600"/>
      <c r="G33" s="600"/>
      <c r="H33" s="600"/>
      <c r="I33" s="600"/>
      <c r="J33" s="600"/>
      <c r="K33" s="600"/>
      <c r="L33" s="600"/>
      <c r="M33" s="600"/>
      <c r="N33" s="600"/>
      <c r="O33" s="600"/>
      <c r="P33" s="600"/>
      <c r="Q33" s="600"/>
    </row>
    <row r="34" spans="1:17" s="98" customFormat="1" ht="15" customHeight="1">
      <c r="A34" s="522"/>
      <c r="B34" s="146" t="s">
        <v>70</v>
      </c>
      <c r="C34" s="527" t="s">
        <v>113</v>
      </c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2"/>
    </row>
    <row r="35" spans="1:17" s="98" customFormat="1" ht="11.25" customHeight="1">
      <c r="A35" s="522"/>
      <c r="B35" s="146" t="s">
        <v>71</v>
      </c>
      <c r="C35" s="527" t="s">
        <v>222</v>
      </c>
      <c r="D35" s="601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2"/>
    </row>
    <row r="36" spans="1:17" s="98" customFormat="1" ht="12.75">
      <c r="A36" s="522"/>
      <c r="B36" s="146" t="s">
        <v>72</v>
      </c>
      <c r="C36" s="527" t="s">
        <v>223</v>
      </c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2"/>
    </row>
    <row r="37" spans="1:17" s="98" customFormat="1" ht="11.25">
      <c r="A37" s="522"/>
      <c r="B37" s="146" t="s">
        <v>73</v>
      </c>
      <c r="C37" s="468"/>
      <c r="D37" s="468"/>
      <c r="E37" s="400">
        <f>SUM(F37:G37)</f>
        <v>4647075</v>
      </c>
      <c r="F37" s="400">
        <v>1520429</v>
      </c>
      <c r="G37" s="400">
        <v>3126646</v>
      </c>
      <c r="H37" s="400">
        <f>SUM(I37,M37)</f>
        <v>4592575</v>
      </c>
      <c r="I37" s="400">
        <f>J37+K37+L37</f>
        <v>1500235</v>
      </c>
      <c r="J37" s="400">
        <v>0</v>
      </c>
      <c r="K37" s="400">
        <v>0</v>
      </c>
      <c r="L37" s="400">
        <v>1500235</v>
      </c>
      <c r="M37" s="400">
        <f>N37+O37+P37+Q37</f>
        <v>3092340</v>
      </c>
      <c r="N37" s="400">
        <v>0</v>
      </c>
      <c r="O37" s="400"/>
      <c r="P37" s="400">
        <v>0</v>
      </c>
      <c r="Q37" s="400">
        <v>3092340</v>
      </c>
    </row>
    <row r="38" spans="1:17" s="98" customFormat="1" ht="11.25" customHeight="1">
      <c r="A38" s="522"/>
      <c r="B38" s="146" t="s">
        <v>256</v>
      </c>
      <c r="C38" s="533">
        <v>23</v>
      </c>
      <c r="D38" s="536" t="s">
        <v>84</v>
      </c>
      <c r="E38" s="400">
        <f>SUM(F38,G38)</f>
        <v>4592575</v>
      </c>
      <c r="F38" s="400">
        <f>SUM(L37)</f>
        <v>1500235</v>
      </c>
      <c r="G38" s="400">
        <f>SUM(M37)</f>
        <v>3092340</v>
      </c>
      <c r="H38" s="605"/>
      <c r="I38" s="605"/>
      <c r="J38" s="605"/>
      <c r="K38" s="605"/>
      <c r="L38" s="605"/>
      <c r="M38" s="605"/>
      <c r="N38" s="605"/>
      <c r="O38" s="605"/>
      <c r="P38" s="605"/>
      <c r="Q38" s="605"/>
    </row>
    <row r="39" spans="1:17" s="98" customFormat="1" ht="11.25">
      <c r="A39" s="522"/>
      <c r="B39" s="146" t="s">
        <v>287</v>
      </c>
      <c r="C39" s="534"/>
      <c r="D39" s="537"/>
      <c r="E39" s="400">
        <f>SUM(F39,G39)</f>
        <v>0</v>
      </c>
      <c r="F39" s="400">
        <v>0</v>
      </c>
      <c r="G39" s="400">
        <v>0</v>
      </c>
      <c r="H39" s="606"/>
      <c r="I39" s="606"/>
      <c r="J39" s="606"/>
      <c r="K39" s="606"/>
      <c r="L39" s="606"/>
      <c r="M39" s="606"/>
      <c r="N39" s="606"/>
      <c r="O39" s="606"/>
      <c r="P39" s="606"/>
      <c r="Q39" s="606"/>
    </row>
    <row r="40" spans="1:17" s="98" customFormat="1" ht="11.25">
      <c r="A40" s="522"/>
      <c r="B40" s="146" t="s">
        <v>133</v>
      </c>
      <c r="C40" s="534"/>
      <c r="D40" s="537"/>
      <c r="E40" s="400">
        <f>SUM(F40,G40)</f>
        <v>0</v>
      </c>
      <c r="F40" s="400"/>
      <c r="G40" s="400"/>
      <c r="H40" s="606"/>
      <c r="I40" s="606"/>
      <c r="J40" s="606"/>
      <c r="K40" s="606"/>
      <c r="L40" s="606"/>
      <c r="M40" s="606"/>
      <c r="N40" s="606"/>
      <c r="O40" s="606"/>
      <c r="P40" s="606"/>
      <c r="Q40" s="606"/>
    </row>
    <row r="41" spans="1:17" s="98" customFormat="1" ht="11.25">
      <c r="A41" s="522"/>
      <c r="B41" s="146" t="s">
        <v>134</v>
      </c>
      <c r="C41" s="534"/>
      <c r="D41" s="537"/>
      <c r="E41" s="400">
        <f>SUM(F41,G41)</f>
        <v>0</v>
      </c>
      <c r="F41" s="400"/>
      <c r="G41" s="400"/>
      <c r="H41" s="607"/>
      <c r="I41" s="607"/>
      <c r="J41" s="607"/>
      <c r="K41" s="607"/>
      <c r="L41" s="607"/>
      <c r="M41" s="607"/>
      <c r="N41" s="607"/>
      <c r="O41" s="607"/>
      <c r="P41" s="607"/>
      <c r="Q41" s="607"/>
    </row>
    <row r="42" spans="1:17" s="98" customFormat="1" ht="12.75">
      <c r="A42" s="554" t="s">
        <v>77</v>
      </c>
      <c r="B42" s="146" t="s">
        <v>69</v>
      </c>
      <c r="C42" s="599" t="s">
        <v>220</v>
      </c>
      <c r="D42" s="600"/>
      <c r="E42" s="600"/>
      <c r="F42" s="600"/>
      <c r="G42" s="600"/>
      <c r="H42" s="600"/>
      <c r="I42" s="600"/>
      <c r="J42" s="600"/>
      <c r="K42" s="600"/>
      <c r="L42" s="600"/>
      <c r="M42" s="600"/>
      <c r="N42" s="600"/>
      <c r="O42" s="600"/>
      <c r="P42" s="600"/>
      <c r="Q42" s="600"/>
    </row>
    <row r="43" spans="1:17" s="98" customFormat="1" ht="11.25" customHeight="1">
      <c r="A43" s="523"/>
      <c r="B43" s="146" t="s">
        <v>70</v>
      </c>
      <c r="C43" s="530" t="s">
        <v>113</v>
      </c>
      <c r="D43" s="603"/>
      <c r="E43" s="603"/>
      <c r="F43" s="603"/>
      <c r="G43" s="603"/>
      <c r="H43" s="603"/>
      <c r="I43" s="603"/>
      <c r="J43" s="603"/>
      <c r="K43" s="603"/>
      <c r="L43" s="603"/>
      <c r="M43" s="603"/>
      <c r="N43" s="603"/>
      <c r="O43" s="603"/>
      <c r="P43" s="603"/>
      <c r="Q43" s="604"/>
    </row>
    <row r="44" spans="1:17" s="98" customFormat="1" ht="12.75">
      <c r="A44" s="554" t="s">
        <v>77</v>
      </c>
      <c r="B44" s="144" t="s">
        <v>71</v>
      </c>
      <c r="C44" s="527" t="s">
        <v>132</v>
      </c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2"/>
    </row>
    <row r="45" spans="1:17" s="98" customFormat="1" ht="12.75">
      <c r="A45" s="522"/>
      <c r="B45" s="144" t="s">
        <v>72</v>
      </c>
      <c r="C45" s="530" t="s">
        <v>152</v>
      </c>
      <c r="D45" s="603"/>
      <c r="E45" s="603"/>
      <c r="F45" s="603"/>
      <c r="G45" s="603"/>
      <c r="H45" s="603"/>
      <c r="I45" s="603"/>
      <c r="J45" s="603"/>
      <c r="K45" s="603"/>
      <c r="L45" s="603"/>
      <c r="M45" s="603"/>
      <c r="N45" s="603"/>
      <c r="O45" s="603"/>
      <c r="P45" s="603"/>
      <c r="Q45" s="604"/>
    </row>
    <row r="46" spans="1:17" s="98" customFormat="1" ht="11.25" customHeight="1">
      <c r="A46" s="522"/>
      <c r="B46" s="144" t="s">
        <v>73</v>
      </c>
      <c r="C46" s="468"/>
      <c r="D46" s="468"/>
      <c r="E46" s="400">
        <f>SUM(F46:G46)</f>
        <v>7774273</v>
      </c>
      <c r="F46" s="400">
        <f>SUM(F47:F50)+13066</f>
        <v>2775415</v>
      </c>
      <c r="G46" s="400">
        <f>SUM(G47:G50)+23534</f>
        <v>4998858</v>
      </c>
      <c r="H46" s="400">
        <f>SUM(I46,M46)</f>
        <v>23420</v>
      </c>
      <c r="I46" s="400">
        <f>J46+K46+L46</f>
        <v>8361</v>
      </c>
      <c r="J46" s="400">
        <v>0</v>
      </c>
      <c r="K46" s="400">
        <v>0</v>
      </c>
      <c r="L46" s="400">
        <v>8361</v>
      </c>
      <c r="M46" s="400">
        <f>N46+O46+P46+Q46</f>
        <v>15059</v>
      </c>
      <c r="N46" s="400">
        <v>0</v>
      </c>
      <c r="O46" s="400"/>
      <c r="P46" s="400">
        <v>0</v>
      </c>
      <c r="Q46" s="400">
        <v>15059</v>
      </c>
    </row>
    <row r="47" spans="1:17" s="99" customFormat="1" ht="11.25" customHeight="1">
      <c r="A47" s="522"/>
      <c r="B47" s="144" t="s">
        <v>256</v>
      </c>
      <c r="C47" s="533">
        <v>23</v>
      </c>
      <c r="D47" s="536" t="s">
        <v>84</v>
      </c>
      <c r="E47" s="400">
        <f>SUM(F47,G47)</f>
        <v>23420</v>
      </c>
      <c r="F47" s="400">
        <f>SUM(I46)</f>
        <v>8361</v>
      </c>
      <c r="G47" s="400">
        <f>SUM(M46)</f>
        <v>15059</v>
      </c>
      <c r="H47" s="605"/>
      <c r="I47" s="605"/>
      <c r="J47" s="605"/>
      <c r="K47" s="605"/>
      <c r="L47" s="605"/>
      <c r="M47" s="605"/>
      <c r="N47" s="605"/>
      <c r="O47" s="605"/>
      <c r="P47" s="605"/>
      <c r="Q47" s="605"/>
    </row>
    <row r="48" spans="1:17" s="98" customFormat="1" ht="12.75" customHeight="1">
      <c r="A48" s="522"/>
      <c r="B48" s="144" t="s">
        <v>287</v>
      </c>
      <c r="C48" s="534"/>
      <c r="D48" s="537"/>
      <c r="E48" s="400">
        <f>SUM(F48,G48)</f>
        <v>2582300</v>
      </c>
      <c r="F48" s="400">
        <v>921881</v>
      </c>
      <c r="G48" s="400">
        <v>1660419</v>
      </c>
      <c r="H48" s="606"/>
      <c r="I48" s="606"/>
      <c r="J48" s="606"/>
      <c r="K48" s="606"/>
      <c r="L48" s="606"/>
      <c r="M48" s="606"/>
      <c r="N48" s="606"/>
      <c r="O48" s="606"/>
      <c r="P48" s="606"/>
      <c r="Q48" s="606"/>
    </row>
    <row r="49" spans="1:17" s="98" customFormat="1" ht="13.5" customHeight="1">
      <c r="A49" s="522"/>
      <c r="B49" s="144" t="s">
        <v>133</v>
      </c>
      <c r="C49" s="534"/>
      <c r="D49" s="537"/>
      <c r="E49" s="400">
        <f>SUM(F49,G49)</f>
        <v>2583524</v>
      </c>
      <c r="F49" s="400">
        <v>922318</v>
      </c>
      <c r="G49" s="400">
        <v>1661206</v>
      </c>
      <c r="H49" s="607"/>
      <c r="I49" s="607"/>
      <c r="J49" s="607"/>
      <c r="K49" s="607"/>
      <c r="L49" s="607"/>
      <c r="M49" s="607"/>
      <c r="N49" s="607"/>
      <c r="O49" s="607"/>
      <c r="P49" s="607"/>
      <c r="Q49" s="607"/>
    </row>
    <row r="50" spans="1:17" s="98" customFormat="1" ht="13.5" customHeight="1">
      <c r="A50" s="523"/>
      <c r="B50" s="144" t="s">
        <v>134</v>
      </c>
      <c r="C50" s="535"/>
      <c r="D50" s="538"/>
      <c r="E50" s="400">
        <f>SUM(F50,G50)</f>
        <v>2548429</v>
      </c>
      <c r="F50" s="400">
        <v>909789</v>
      </c>
      <c r="G50" s="400">
        <v>1638640</v>
      </c>
      <c r="H50" s="496"/>
      <c r="I50" s="496"/>
      <c r="J50" s="496"/>
      <c r="K50" s="496"/>
      <c r="L50" s="496"/>
      <c r="M50" s="496"/>
      <c r="N50" s="496"/>
      <c r="O50" s="496"/>
      <c r="P50" s="496"/>
      <c r="Q50" s="496"/>
    </row>
    <row r="51" spans="1:17" s="316" customFormat="1" ht="12.75" hidden="1">
      <c r="A51" s="522" t="s">
        <v>77</v>
      </c>
      <c r="B51" s="473" t="s">
        <v>69</v>
      </c>
      <c r="C51" s="524" t="s">
        <v>220</v>
      </c>
      <c r="D51" s="608"/>
      <c r="E51" s="608"/>
      <c r="F51" s="608"/>
      <c r="G51" s="608"/>
      <c r="H51" s="608"/>
      <c r="I51" s="608"/>
      <c r="J51" s="608"/>
      <c r="K51" s="608"/>
      <c r="L51" s="608"/>
      <c r="M51" s="608"/>
      <c r="N51" s="608"/>
      <c r="O51" s="608"/>
      <c r="P51" s="608"/>
      <c r="Q51" s="608"/>
    </row>
    <row r="52" spans="1:17" s="316" customFormat="1" ht="12.75" hidden="1">
      <c r="A52" s="522"/>
      <c r="B52" s="146" t="s">
        <v>70</v>
      </c>
      <c r="C52" s="527" t="s">
        <v>113</v>
      </c>
      <c r="D52" s="601"/>
      <c r="E52" s="601"/>
      <c r="F52" s="601"/>
      <c r="G52" s="601"/>
      <c r="H52" s="601"/>
      <c r="I52" s="601"/>
      <c r="J52" s="601"/>
      <c r="K52" s="601"/>
      <c r="L52" s="601"/>
      <c r="M52" s="601"/>
      <c r="N52" s="601"/>
      <c r="O52" s="601"/>
      <c r="P52" s="601"/>
      <c r="Q52" s="602"/>
    </row>
    <row r="53" spans="1:17" s="316" customFormat="1" ht="12.75" hidden="1">
      <c r="A53" s="522"/>
      <c r="B53" s="146" t="s">
        <v>71</v>
      </c>
      <c r="C53" s="527" t="s">
        <v>132</v>
      </c>
      <c r="D53" s="601"/>
      <c r="E53" s="601"/>
      <c r="F53" s="601"/>
      <c r="G53" s="601"/>
      <c r="H53" s="601"/>
      <c r="I53" s="601"/>
      <c r="J53" s="601"/>
      <c r="K53" s="601"/>
      <c r="L53" s="601"/>
      <c r="M53" s="601"/>
      <c r="N53" s="601"/>
      <c r="O53" s="601"/>
      <c r="P53" s="601"/>
      <c r="Q53" s="602"/>
    </row>
    <row r="54" spans="1:17" s="316" customFormat="1" ht="12.75" hidden="1">
      <c r="A54" s="522"/>
      <c r="B54" s="146" t="s">
        <v>72</v>
      </c>
      <c r="C54" s="530" t="s">
        <v>136</v>
      </c>
      <c r="D54" s="603"/>
      <c r="E54" s="603"/>
      <c r="F54" s="603"/>
      <c r="G54" s="603"/>
      <c r="H54" s="603"/>
      <c r="I54" s="603"/>
      <c r="J54" s="603"/>
      <c r="K54" s="603"/>
      <c r="L54" s="603"/>
      <c r="M54" s="603"/>
      <c r="N54" s="603"/>
      <c r="O54" s="603"/>
      <c r="P54" s="603"/>
      <c r="Q54" s="604"/>
    </row>
    <row r="55" spans="1:17" ht="11.25" hidden="1">
      <c r="A55" s="522"/>
      <c r="B55" s="146" t="s">
        <v>73</v>
      </c>
      <c r="C55" s="616">
        <v>23</v>
      </c>
      <c r="D55" s="619" t="s">
        <v>84</v>
      </c>
      <c r="E55" s="145">
        <f>SUM(F55:G55)</f>
        <v>0</v>
      </c>
      <c r="F55" s="145">
        <v>0</v>
      </c>
      <c r="G55" s="145">
        <f>SUM(G56:G58)</f>
        <v>0</v>
      </c>
      <c r="H55" s="148">
        <f>SUM(I55,M55)</f>
        <v>0</v>
      </c>
      <c r="I55" s="148">
        <f>J55+K55+L55</f>
        <v>0</v>
      </c>
      <c r="J55" s="148">
        <v>0</v>
      </c>
      <c r="K55" s="148">
        <v>0</v>
      </c>
      <c r="L55" s="148">
        <v>0</v>
      </c>
      <c r="M55" s="148">
        <f>N55+O55+P55+Q55</f>
        <v>0</v>
      </c>
      <c r="N55" s="148">
        <v>0</v>
      </c>
      <c r="O55" s="148"/>
      <c r="P55" s="148">
        <v>0</v>
      </c>
      <c r="Q55" s="148">
        <v>0</v>
      </c>
    </row>
    <row r="56" spans="1:17" ht="11.25" hidden="1">
      <c r="A56" s="522"/>
      <c r="B56" s="144" t="s">
        <v>256</v>
      </c>
      <c r="C56" s="617"/>
      <c r="D56" s="620"/>
      <c r="E56" s="145">
        <f>SUM(F56:G56)</f>
        <v>0</v>
      </c>
      <c r="F56" s="145"/>
      <c r="G56" s="149"/>
      <c r="H56" s="150"/>
      <c r="I56" s="150"/>
      <c r="J56" s="150"/>
      <c r="K56" s="150"/>
      <c r="L56" s="150"/>
      <c r="M56" s="151"/>
      <c r="N56" s="152"/>
      <c r="O56" s="152"/>
      <c r="P56" s="152"/>
      <c r="Q56" s="152"/>
    </row>
    <row r="57" spans="1:17" ht="11.25" hidden="1">
      <c r="A57" s="522"/>
      <c r="B57" s="144" t="s">
        <v>287</v>
      </c>
      <c r="C57" s="617"/>
      <c r="D57" s="620"/>
      <c r="E57" s="145">
        <f>SUM(F57,G57)</f>
        <v>0</v>
      </c>
      <c r="F57" s="145"/>
      <c r="G57" s="149"/>
      <c r="H57" s="153"/>
      <c r="I57" s="153"/>
      <c r="J57" s="153"/>
      <c r="K57" s="153"/>
      <c r="L57" s="153"/>
      <c r="M57" s="154"/>
      <c r="N57" s="155"/>
      <c r="O57" s="155"/>
      <c r="P57" s="155"/>
      <c r="Q57" s="155"/>
    </row>
    <row r="58" spans="1:17" ht="11.25" hidden="1">
      <c r="A58" s="522"/>
      <c r="B58" s="144" t="s">
        <v>133</v>
      </c>
      <c r="C58" s="617"/>
      <c r="D58" s="620"/>
      <c r="E58" s="145">
        <f>SUM(F58,G58)</f>
        <v>0</v>
      </c>
      <c r="F58" s="145">
        <v>0</v>
      </c>
      <c r="G58" s="149">
        <v>0</v>
      </c>
      <c r="H58" s="153"/>
      <c r="I58" s="153"/>
      <c r="J58" s="153"/>
      <c r="K58" s="153"/>
      <c r="L58" s="153"/>
      <c r="M58" s="154"/>
      <c r="N58" s="155"/>
      <c r="O58" s="155"/>
      <c r="P58" s="155"/>
      <c r="Q58" s="155"/>
    </row>
    <row r="59" spans="1:17" ht="11.25" hidden="1">
      <c r="A59" s="522"/>
      <c r="B59" s="144" t="s">
        <v>134</v>
      </c>
      <c r="C59" s="617"/>
      <c r="D59" s="620"/>
      <c r="E59" s="145">
        <f>SUM(F59,G59)</f>
        <v>0</v>
      </c>
      <c r="F59" s="145">
        <v>0</v>
      </c>
      <c r="G59" s="149">
        <v>0</v>
      </c>
      <c r="H59" s="153"/>
      <c r="I59" s="153"/>
      <c r="J59" s="153"/>
      <c r="K59" s="153"/>
      <c r="L59" s="153"/>
      <c r="M59" s="154"/>
      <c r="N59" s="155"/>
      <c r="O59" s="155"/>
      <c r="P59" s="155"/>
      <c r="Q59" s="155"/>
    </row>
    <row r="60" spans="1:17" ht="11.25" hidden="1">
      <c r="A60" s="523"/>
      <c r="B60" s="144" t="s">
        <v>135</v>
      </c>
      <c r="C60" s="618"/>
      <c r="D60" s="621"/>
      <c r="E60" s="145">
        <f>SUM(F60,G60)</f>
        <v>0</v>
      </c>
      <c r="F60" s="145">
        <v>0</v>
      </c>
      <c r="G60" s="149">
        <v>0</v>
      </c>
      <c r="H60" s="156"/>
      <c r="I60" s="156"/>
      <c r="J60" s="156"/>
      <c r="K60" s="156"/>
      <c r="L60" s="156"/>
      <c r="M60" s="147"/>
      <c r="N60" s="157"/>
      <c r="O60" s="157"/>
      <c r="P60" s="157"/>
      <c r="Q60" s="157"/>
    </row>
    <row r="61" spans="1:17" ht="12.75">
      <c r="A61" s="554" t="s">
        <v>224</v>
      </c>
      <c r="B61" s="146" t="s">
        <v>69</v>
      </c>
      <c r="C61" s="599" t="s">
        <v>220</v>
      </c>
      <c r="D61" s="600"/>
      <c r="E61" s="600"/>
      <c r="F61" s="600"/>
      <c r="G61" s="600"/>
      <c r="H61" s="600"/>
      <c r="I61" s="600"/>
      <c r="J61" s="600"/>
      <c r="K61" s="600"/>
      <c r="L61" s="600"/>
      <c r="M61" s="600"/>
      <c r="N61" s="600"/>
      <c r="O61" s="600"/>
      <c r="P61" s="600"/>
      <c r="Q61" s="600"/>
    </row>
    <row r="62" spans="1:17" ht="12.75">
      <c r="A62" s="522"/>
      <c r="B62" s="146" t="s">
        <v>70</v>
      </c>
      <c r="C62" s="527" t="s">
        <v>113</v>
      </c>
      <c r="D62" s="601"/>
      <c r="E62" s="601"/>
      <c r="F62" s="601"/>
      <c r="G62" s="601"/>
      <c r="H62" s="601"/>
      <c r="I62" s="601"/>
      <c r="J62" s="601"/>
      <c r="K62" s="601"/>
      <c r="L62" s="601"/>
      <c r="M62" s="601"/>
      <c r="N62" s="601"/>
      <c r="O62" s="601"/>
      <c r="P62" s="601"/>
      <c r="Q62" s="602"/>
    </row>
    <row r="63" spans="1:17" ht="12.75">
      <c r="A63" s="522"/>
      <c r="B63" s="146" t="s">
        <v>71</v>
      </c>
      <c r="C63" s="527" t="s">
        <v>225</v>
      </c>
      <c r="D63" s="601"/>
      <c r="E63" s="601"/>
      <c r="F63" s="601"/>
      <c r="G63" s="601"/>
      <c r="H63" s="601"/>
      <c r="I63" s="601"/>
      <c r="J63" s="601"/>
      <c r="K63" s="601"/>
      <c r="L63" s="601"/>
      <c r="M63" s="601"/>
      <c r="N63" s="601"/>
      <c r="O63" s="601"/>
      <c r="P63" s="601"/>
      <c r="Q63" s="602"/>
    </row>
    <row r="64" spans="1:17" ht="12.75">
      <c r="A64" s="522"/>
      <c r="B64" s="146" t="s">
        <v>72</v>
      </c>
      <c r="C64" s="530" t="s">
        <v>226</v>
      </c>
      <c r="D64" s="603"/>
      <c r="E64" s="603"/>
      <c r="F64" s="603"/>
      <c r="G64" s="603"/>
      <c r="H64" s="603"/>
      <c r="I64" s="603"/>
      <c r="J64" s="603"/>
      <c r="K64" s="603"/>
      <c r="L64" s="603"/>
      <c r="M64" s="603"/>
      <c r="N64" s="603"/>
      <c r="O64" s="603"/>
      <c r="P64" s="603"/>
      <c r="Q64" s="604"/>
    </row>
    <row r="65" spans="1:17" ht="11.25">
      <c r="A65" s="522"/>
      <c r="B65" s="146" t="s">
        <v>73</v>
      </c>
      <c r="C65" s="533">
        <v>23</v>
      </c>
      <c r="D65" s="536" t="s">
        <v>84</v>
      </c>
      <c r="E65" s="400">
        <f>SUM(F65:G65)</f>
        <v>4223077</v>
      </c>
      <c r="F65" s="400">
        <v>1819795</v>
      </c>
      <c r="G65" s="400">
        <v>2403282</v>
      </c>
      <c r="H65" s="401">
        <f>SUM(I65,M65)</f>
        <v>4182817</v>
      </c>
      <c r="I65" s="401">
        <f>J65+K65+L65</f>
        <v>1798323</v>
      </c>
      <c r="J65" s="401">
        <v>0</v>
      </c>
      <c r="K65" s="401">
        <v>0</v>
      </c>
      <c r="L65" s="145">
        <v>1798323</v>
      </c>
      <c r="M65" s="401">
        <f>N65+O65+P65+Q65</f>
        <v>2384494</v>
      </c>
      <c r="N65" s="401">
        <v>0</v>
      </c>
      <c r="O65" s="401"/>
      <c r="P65" s="401">
        <v>0</v>
      </c>
      <c r="Q65" s="145">
        <v>2384494</v>
      </c>
    </row>
    <row r="66" spans="1:17" ht="11.25">
      <c r="A66" s="522"/>
      <c r="B66" s="144" t="s">
        <v>256</v>
      </c>
      <c r="C66" s="534"/>
      <c r="D66" s="537"/>
      <c r="E66" s="400">
        <f>SUM(F66:G66)</f>
        <v>4182817</v>
      </c>
      <c r="F66" s="400">
        <f>SUM(L65)</f>
        <v>1798323</v>
      </c>
      <c r="G66" s="402">
        <f>SUM(Q65)</f>
        <v>2384494</v>
      </c>
      <c r="H66" s="403"/>
      <c r="I66" s="403"/>
      <c r="J66" s="403"/>
      <c r="K66" s="403"/>
      <c r="L66" s="403"/>
      <c r="M66" s="404"/>
      <c r="N66" s="405"/>
      <c r="O66" s="405"/>
      <c r="P66" s="405"/>
      <c r="Q66" s="405"/>
    </row>
    <row r="67" spans="1:17" ht="11.25">
      <c r="A67" s="522"/>
      <c r="B67" s="144" t="s">
        <v>287</v>
      </c>
      <c r="C67" s="534"/>
      <c r="D67" s="537"/>
      <c r="E67" s="400">
        <f>SUM(F67,G67)</f>
        <v>0</v>
      </c>
      <c r="F67" s="145">
        <v>0</v>
      </c>
      <c r="G67" s="145">
        <v>0</v>
      </c>
      <c r="H67" s="406"/>
      <c r="I67" s="406"/>
      <c r="J67" s="406"/>
      <c r="K67" s="406"/>
      <c r="L67" s="406"/>
      <c r="M67" s="407"/>
      <c r="N67" s="408"/>
      <c r="O67" s="408"/>
      <c r="P67" s="408"/>
      <c r="Q67" s="408"/>
    </row>
    <row r="68" spans="1:17" ht="11.25">
      <c r="A68" s="522"/>
      <c r="B68" s="144" t="s">
        <v>133</v>
      </c>
      <c r="C68" s="534"/>
      <c r="D68" s="537"/>
      <c r="E68" s="400">
        <f>SUM(F68,G68)</f>
        <v>0</v>
      </c>
      <c r="F68" s="400">
        <v>0</v>
      </c>
      <c r="G68" s="402">
        <v>0</v>
      </c>
      <c r="H68" s="406"/>
      <c r="I68" s="406"/>
      <c r="J68" s="406"/>
      <c r="K68" s="406"/>
      <c r="L68" s="406"/>
      <c r="M68" s="407"/>
      <c r="N68" s="408"/>
      <c r="O68" s="408"/>
      <c r="P68" s="408"/>
      <c r="Q68" s="408"/>
    </row>
    <row r="69" spans="1:17" ht="11.25">
      <c r="A69" s="522"/>
      <c r="B69" s="144" t="s">
        <v>134</v>
      </c>
      <c r="C69" s="534"/>
      <c r="D69" s="537"/>
      <c r="E69" s="400">
        <f>SUM(F69,G69)</f>
        <v>0</v>
      </c>
      <c r="F69" s="400">
        <v>0</v>
      </c>
      <c r="G69" s="402">
        <v>0</v>
      </c>
      <c r="H69" s="406"/>
      <c r="I69" s="406"/>
      <c r="J69" s="406"/>
      <c r="K69" s="406"/>
      <c r="L69" s="406"/>
      <c r="M69" s="407"/>
      <c r="N69" s="408"/>
      <c r="O69" s="408"/>
      <c r="P69" s="408"/>
      <c r="Q69" s="408"/>
    </row>
    <row r="70" spans="1:17" ht="12.75">
      <c r="A70" s="554" t="s">
        <v>228</v>
      </c>
      <c r="B70" s="146" t="s">
        <v>69</v>
      </c>
      <c r="C70" s="599" t="s">
        <v>220</v>
      </c>
      <c r="D70" s="600"/>
      <c r="E70" s="600"/>
      <c r="F70" s="600"/>
      <c r="G70" s="600"/>
      <c r="H70" s="600"/>
      <c r="I70" s="600"/>
      <c r="J70" s="600"/>
      <c r="K70" s="600"/>
      <c r="L70" s="600"/>
      <c r="M70" s="600"/>
      <c r="N70" s="600"/>
      <c r="O70" s="600"/>
      <c r="P70" s="600"/>
      <c r="Q70" s="600"/>
    </row>
    <row r="71" spans="1:17" ht="12.75">
      <c r="A71" s="522"/>
      <c r="B71" s="146" t="s">
        <v>70</v>
      </c>
      <c r="C71" s="527" t="s">
        <v>229</v>
      </c>
      <c r="D71" s="601"/>
      <c r="E71" s="601"/>
      <c r="F71" s="601"/>
      <c r="G71" s="601"/>
      <c r="H71" s="601"/>
      <c r="I71" s="601"/>
      <c r="J71" s="601"/>
      <c r="K71" s="601"/>
      <c r="L71" s="601"/>
      <c r="M71" s="601"/>
      <c r="N71" s="601"/>
      <c r="O71" s="601"/>
      <c r="P71" s="601"/>
      <c r="Q71" s="602"/>
    </row>
    <row r="72" spans="1:17" ht="12.75">
      <c r="A72" s="522"/>
      <c r="B72" s="146" t="s">
        <v>71</v>
      </c>
      <c r="C72" s="527" t="s">
        <v>231</v>
      </c>
      <c r="D72" s="601"/>
      <c r="E72" s="601"/>
      <c r="F72" s="601"/>
      <c r="G72" s="601"/>
      <c r="H72" s="601"/>
      <c r="I72" s="601"/>
      <c r="J72" s="601"/>
      <c r="K72" s="601"/>
      <c r="L72" s="601"/>
      <c r="M72" s="601"/>
      <c r="N72" s="601"/>
      <c r="O72" s="601"/>
      <c r="P72" s="601"/>
      <c r="Q72" s="602"/>
    </row>
    <row r="73" spans="1:17" ht="12.75">
      <c r="A73" s="522"/>
      <c r="B73" s="146" t="s">
        <v>72</v>
      </c>
      <c r="C73" s="530" t="s">
        <v>232</v>
      </c>
      <c r="D73" s="603"/>
      <c r="E73" s="603"/>
      <c r="F73" s="603"/>
      <c r="G73" s="603"/>
      <c r="H73" s="603"/>
      <c r="I73" s="603"/>
      <c r="J73" s="603"/>
      <c r="K73" s="603"/>
      <c r="L73" s="603"/>
      <c r="M73" s="603"/>
      <c r="N73" s="603"/>
      <c r="O73" s="603"/>
      <c r="P73" s="603"/>
      <c r="Q73" s="604"/>
    </row>
    <row r="74" spans="1:17" ht="11.25">
      <c r="A74" s="522"/>
      <c r="B74" s="146" t="s">
        <v>73</v>
      </c>
      <c r="C74" s="412">
        <v>57</v>
      </c>
      <c r="D74" s="413"/>
      <c r="E74" s="400">
        <f>SUM(F74:G74)</f>
        <v>12470</v>
      </c>
      <c r="F74" s="400">
        <f>SUM(F75:F76)</f>
        <v>12470</v>
      </c>
      <c r="G74" s="400">
        <f>SUM(G75:G77)</f>
        <v>0</v>
      </c>
      <c r="H74" s="400">
        <f>SUM(I74,M74)</f>
        <v>12470</v>
      </c>
      <c r="I74" s="400">
        <f>J74+K74+L74</f>
        <v>12470</v>
      </c>
      <c r="J74" s="400">
        <v>0</v>
      </c>
      <c r="K74" s="400">
        <v>0</v>
      </c>
      <c r="L74" s="400">
        <f>300+12170</f>
        <v>12470</v>
      </c>
      <c r="M74" s="400">
        <f>N74+O74+P74+Q74</f>
        <v>0</v>
      </c>
      <c r="N74" s="400">
        <v>0</v>
      </c>
      <c r="O74" s="400"/>
      <c r="P74" s="400">
        <v>0</v>
      </c>
      <c r="Q74" s="400">
        <v>0</v>
      </c>
    </row>
    <row r="75" spans="1:17" ht="11.25">
      <c r="A75" s="522"/>
      <c r="B75" s="144" t="s">
        <v>256</v>
      </c>
      <c r="C75" s="533">
        <v>57</v>
      </c>
      <c r="D75" s="536" t="s">
        <v>233</v>
      </c>
      <c r="E75" s="400">
        <f>SUM(F75:G75)</f>
        <v>12470</v>
      </c>
      <c r="F75" s="400">
        <f>SUM(I74)</f>
        <v>12470</v>
      </c>
      <c r="G75" s="402">
        <f>SUM(M74)</f>
        <v>0</v>
      </c>
      <c r="H75" s="403"/>
      <c r="I75" s="403"/>
      <c r="J75" s="403"/>
      <c r="K75" s="403"/>
      <c r="L75" s="403"/>
      <c r="M75" s="404"/>
      <c r="N75" s="405"/>
      <c r="O75" s="405"/>
      <c r="P75" s="405"/>
      <c r="Q75" s="405"/>
    </row>
    <row r="76" spans="1:17" ht="11.25">
      <c r="A76" s="522"/>
      <c r="B76" s="144" t="s">
        <v>287</v>
      </c>
      <c r="C76" s="534"/>
      <c r="D76" s="537"/>
      <c r="E76" s="400">
        <f>SUM(F76,G76)</f>
        <v>0</v>
      </c>
      <c r="F76" s="400">
        <v>0</v>
      </c>
      <c r="G76" s="402">
        <v>0</v>
      </c>
      <c r="H76" s="406"/>
      <c r="I76" s="406"/>
      <c r="J76" s="406"/>
      <c r="K76" s="406"/>
      <c r="L76" s="406"/>
      <c r="M76" s="407"/>
      <c r="N76" s="408"/>
      <c r="O76" s="408"/>
      <c r="P76" s="408"/>
      <c r="Q76" s="408"/>
    </row>
    <row r="77" spans="1:17" ht="11.25">
      <c r="A77" s="522"/>
      <c r="B77" s="144" t="s">
        <v>133</v>
      </c>
      <c r="C77" s="534"/>
      <c r="D77" s="537"/>
      <c r="E77" s="400">
        <f>SUM(F77,G77)</f>
        <v>0</v>
      </c>
      <c r="F77" s="400">
        <v>0</v>
      </c>
      <c r="G77" s="402">
        <v>0</v>
      </c>
      <c r="H77" s="406"/>
      <c r="I77" s="406"/>
      <c r="J77" s="406"/>
      <c r="K77" s="406"/>
      <c r="L77" s="406"/>
      <c r="M77" s="407"/>
      <c r="N77" s="408"/>
      <c r="O77" s="408"/>
      <c r="P77" s="408"/>
      <c r="Q77" s="408"/>
    </row>
    <row r="78" spans="1:17" ht="11.25">
      <c r="A78" s="523"/>
      <c r="B78" s="144" t="s">
        <v>134</v>
      </c>
      <c r="C78" s="534"/>
      <c r="D78" s="537"/>
      <c r="E78" s="400">
        <f>SUM(F78,G78)</f>
        <v>0</v>
      </c>
      <c r="F78" s="400">
        <v>0</v>
      </c>
      <c r="G78" s="402">
        <v>0</v>
      </c>
      <c r="H78" s="406"/>
      <c r="I78" s="406"/>
      <c r="J78" s="406"/>
      <c r="K78" s="406"/>
      <c r="L78" s="406"/>
      <c r="M78" s="407"/>
      <c r="N78" s="408"/>
      <c r="O78" s="408"/>
      <c r="P78" s="408"/>
      <c r="Q78" s="408"/>
    </row>
    <row r="79" spans="1:17" ht="12.75">
      <c r="A79" s="554" t="s">
        <v>234</v>
      </c>
      <c r="B79" s="146" t="s">
        <v>69</v>
      </c>
      <c r="C79" s="599" t="s">
        <v>220</v>
      </c>
      <c r="D79" s="526"/>
      <c r="E79" s="526"/>
      <c r="F79" s="526"/>
      <c r="G79" s="526"/>
      <c r="H79" s="526"/>
      <c r="I79" s="526"/>
      <c r="J79" s="526"/>
      <c r="K79" s="526"/>
      <c r="L79" s="526"/>
      <c r="M79" s="526"/>
      <c r="N79" s="526"/>
      <c r="O79" s="526"/>
      <c r="P79" s="526"/>
      <c r="Q79" s="526"/>
    </row>
    <row r="80" spans="1:17" ht="12.75">
      <c r="A80" s="522"/>
      <c r="B80" s="146" t="s">
        <v>70</v>
      </c>
      <c r="C80" s="527" t="s">
        <v>229</v>
      </c>
      <c r="D80" s="528"/>
      <c r="E80" s="528"/>
      <c r="F80" s="528"/>
      <c r="G80" s="528"/>
      <c r="H80" s="528"/>
      <c r="I80" s="528"/>
      <c r="J80" s="528"/>
      <c r="K80" s="528"/>
      <c r="L80" s="528"/>
      <c r="M80" s="528"/>
      <c r="N80" s="528"/>
      <c r="O80" s="528"/>
      <c r="P80" s="528"/>
      <c r="Q80" s="529"/>
    </row>
    <row r="81" spans="1:17" ht="12.75">
      <c r="A81" s="522"/>
      <c r="B81" s="146" t="s">
        <v>71</v>
      </c>
      <c r="C81" s="527" t="s">
        <v>258</v>
      </c>
      <c r="D81" s="528"/>
      <c r="E81" s="528"/>
      <c r="F81" s="528"/>
      <c r="G81" s="528"/>
      <c r="H81" s="528"/>
      <c r="I81" s="528"/>
      <c r="J81" s="528"/>
      <c r="K81" s="528"/>
      <c r="L81" s="528"/>
      <c r="M81" s="528"/>
      <c r="N81" s="528"/>
      <c r="O81" s="528"/>
      <c r="P81" s="528"/>
      <c r="Q81" s="529"/>
    </row>
    <row r="82" spans="1:17" ht="12.75">
      <c r="A82" s="522"/>
      <c r="B82" s="146" t="s">
        <v>72</v>
      </c>
      <c r="C82" s="530" t="s">
        <v>257</v>
      </c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2"/>
    </row>
    <row r="83" spans="1:17" ht="11.25">
      <c r="A83" s="522"/>
      <c r="B83" s="146" t="s">
        <v>73</v>
      </c>
      <c r="C83" s="412">
        <v>57</v>
      </c>
      <c r="D83" s="413"/>
      <c r="E83" s="400">
        <f>SUM(F83:G83)</f>
        <v>152150</v>
      </c>
      <c r="F83" s="400">
        <f>SUM(F84:F86)</f>
        <v>152150</v>
      </c>
      <c r="G83" s="400">
        <f>SUM(G84:G86)</f>
        <v>0</v>
      </c>
      <c r="H83" s="400">
        <f>SUM(I83,M83)</f>
        <v>88800</v>
      </c>
      <c r="I83" s="400">
        <f>J83+K83+L83</f>
        <v>88800</v>
      </c>
      <c r="J83" s="400">
        <v>0</v>
      </c>
      <c r="K83" s="400">
        <v>0</v>
      </c>
      <c r="L83" s="400">
        <v>88800</v>
      </c>
      <c r="M83" s="400">
        <f>N83+O83+P83+Q83</f>
        <v>0</v>
      </c>
      <c r="N83" s="400">
        <v>0</v>
      </c>
      <c r="O83" s="400"/>
      <c r="P83" s="400">
        <v>0</v>
      </c>
      <c r="Q83" s="400">
        <v>0</v>
      </c>
    </row>
    <row r="84" spans="1:17" ht="11.25">
      <c r="A84" s="522"/>
      <c r="B84" s="144" t="s">
        <v>256</v>
      </c>
      <c r="C84" s="533">
        <v>57</v>
      </c>
      <c r="D84" s="536" t="s">
        <v>233</v>
      </c>
      <c r="E84" s="400">
        <f>SUM(F84:G84)</f>
        <v>88800</v>
      </c>
      <c r="F84" s="400">
        <f>SUM(I83)</f>
        <v>88800</v>
      </c>
      <c r="G84" s="402">
        <f>SUM(M83)</f>
        <v>0</v>
      </c>
      <c r="H84" s="403"/>
      <c r="I84" s="403"/>
      <c r="J84" s="403"/>
      <c r="K84" s="403"/>
      <c r="L84" s="403"/>
      <c r="M84" s="404"/>
      <c r="N84" s="405"/>
      <c r="O84" s="405"/>
      <c r="P84" s="405"/>
      <c r="Q84" s="405"/>
    </row>
    <row r="85" spans="1:17" ht="11.25">
      <c r="A85" s="522"/>
      <c r="B85" s="144" t="s">
        <v>287</v>
      </c>
      <c r="C85" s="534"/>
      <c r="D85" s="537"/>
      <c r="E85" s="400">
        <f>SUM(F85,G85)</f>
        <v>35100</v>
      </c>
      <c r="F85" s="400">
        <v>35100</v>
      </c>
      <c r="G85" s="402">
        <v>0</v>
      </c>
      <c r="H85" s="406"/>
      <c r="I85" s="406"/>
      <c r="J85" s="406"/>
      <c r="K85" s="406"/>
      <c r="L85" s="406"/>
      <c r="M85" s="407"/>
      <c r="N85" s="408"/>
      <c r="O85" s="408"/>
      <c r="P85" s="408"/>
      <c r="Q85" s="408"/>
    </row>
    <row r="86" spans="1:17" ht="11.25">
      <c r="A86" s="522"/>
      <c r="B86" s="144" t="s">
        <v>133</v>
      </c>
      <c r="C86" s="534"/>
      <c r="D86" s="537"/>
      <c r="E86" s="400">
        <f>SUM(F86,G86)</f>
        <v>28250</v>
      </c>
      <c r="F86" s="400">
        <v>28250</v>
      </c>
      <c r="G86" s="402">
        <v>0</v>
      </c>
      <c r="H86" s="406"/>
      <c r="I86" s="406"/>
      <c r="J86" s="406"/>
      <c r="K86" s="406"/>
      <c r="L86" s="406"/>
      <c r="M86" s="407"/>
      <c r="N86" s="408"/>
      <c r="O86" s="408"/>
      <c r="P86" s="408"/>
      <c r="Q86" s="408"/>
    </row>
    <row r="87" spans="1:17" ht="11.25">
      <c r="A87" s="523"/>
      <c r="B87" s="144" t="s">
        <v>134</v>
      </c>
      <c r="C87" s="534"/>
      <c r="D87" s="537"/>
      <c r="E87" s="400">
        <f>SUM(F87,G87)</f>
        <v>0</v>
      </c>
      <c r="F87" s="400">
        <v>0</v>
      </c>
      <c r="G87" s="402">
        <v>0</v>
      </c>
      <c r="H87" s="406"/>
      <c r="I87" s="406"/>
      <c r="J87" s="406"/>
      <c r="K87" s="406"/>
      <c r="L87" s="406"/>
      <c r="M87" s="407"/>
      <c r="N87" s="408"/>
      <c r="O87" s="408"/>
      <c r="P87" s="408"/>
      <c r="Q87" s="408"/>
    </row>
    <row r="88" spans="1:17" s="98" customFormat="1" ht="12.75">
      <c r="A88" s="554" t="s">
        <v>93</v>
      </c>
      <c r="B88" s="146" t="s">
        <v>69</v>
      </c>
      <c r="C88" s="599" t="s">
        <v>220</v>
      </c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</row>
    <row r="89" spans="1:17" s="98" customFormat="1" ht="12.75">
      <c r="A89" s="523"/>
      <c r="B89" s="146" t="s">
        <v>70</v>
      </c>
      <c r="C89" s="530" t="s">
        <v>12</v>
      </c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2"/>
    </row>
    <row r="90" spans="1:17" s="98" customFormat="1" ht="12.75">
      <c r="A90" s="554" t="s">
        <v>93</v>
      </c>
      <c r="B90" s="146" t="s">
        <v>71</v>
      </c>
      <c r="C90" s="527" t="s">
        <v>13</v>
      </c>
      <c r="D90" s="528"/>
      <c r="E90" s="528"/>
      <c r="F90" s="528"/>
      <c r="G90" s="528"/>
      <c r="H90" s="528"/>
      <c r="I90" s="528"/>
      <c r="J90" s="528"/>
      <c r="K90" s="528"/>
      <c r="L90" s="528"/>
      <c r="M90" s="528"/>
      <c r="N90" s="528"/>
      <c r="O90" s="528"/>
      <c r="P90" s="528"/>
      <c r="Q90" s="529"/>
    </row>
    <row r="91" spans="1:17" s="98" customFormat="1" ht="12.75">
      <c r="A91" s="522"/>
      <c r="B91" s="146" t="s">
        <v>72</v>
      </c>
      <c r="C91" s="530" t="s">
        <v>94</v>
      </c>
      <c r="D91" s="531"/>
      <c r="E91" s="531"/>
      <c r="F91" s="531"/>
      <c r="G91" s="531"/>
      <c r="H91" s="531"/>
      <c r="I91" s="531"/>
      <c r="J91" s="531"/>
      <c r="K91" s="531"/>
      <c r="L91" s="531"/>
      <c r="M91" s="531"/>
      <c r="N91" s="531"/>
      <c r="O91" s="531"/>
      <c r="P91" s="531"/>
      <c r="Q91" s="532"/>
    </row>
    <row r="92" spans="1:17" s="98" customFormat="1" ht="11.25">
      <c r="A92" s="522"/>
      <c r="B92" s="146" t="s">
        <v>73</v>
      </c>
      <c r="C92" s="412">
        <v>75</v>
      </c>
      <c r="D92" s="413"/>
      <c r="E92" s="400">
        <f>SUM(F92:G92)</f>
        <v>1738471</v>
      </c>
      <c r="F92" s="400">
        <f>SUM(F93:F95)</f>
        <v>504919</v>
      </c>
      <c r="G92" s="400">
        <f>SUM(G93:G95)</f>
        <v>1233552</v>
      </c>
      <c r="H92" s="400">
        <f>SUM(I92,M92)</f>
        <v>1495146</v>
      </c>
      <c r="I92" s="400">
        <f>J92+K92+L92</f>
        <v>371226</v>
      </c>
      <c r="J92" s="400">
        <v>0</v>
      </c>
      <c r="K92" s="400">
        <v>0</v>
      </c>
      <c r="L92" s="400">
        <v>371226</v>
      </c>
      <c r="M92" s="400">
        <f>N92+O92+P92+Q92</f>
        <v>1123920</v>
      </c>
      <c r="N92" s="400">
        <v>0</v>
      </c>
      <c r="O92" s="400"/>
      <c r="P92" s="400">
        <v>0</v>
      </c>
      <c r="Q92" s="400">
        <v>1123920</v>
      </c>
    </row>
    <row r="93" spans="1:17" s="98" customFormat="1" ht="11.25">
      <c r="A93" s="522"/>
      <c r="B93" s="144" t="s">
        <v>256</v>
      </c>
      <c r="C93" s="533">
        <v>75</v>
      </c>
      <c r="D93" s="536" t="s">
        <v>14</v>
      </c>
      <c r="E93" s="400">
        <f>SUM(F93:G93)</f>
        <v>1495146</v>
      </c>
      <c r="F93" s="400">
        <f>SUM(I92)</f>
        <v>371226</v>
      </c>
      <c r="G93" s="402">
        <f>SUM(M92)</f>
        <v>1123920</v>
      </c>
      <c r="H93" s="403"/>
      <c r="I93" s="403"/>
      <c r="J93" s="403"/>
      <c r="K93" s="403"/>
      <c r="L93" s="403"/>
      <c r="M93" s="404"/>
      <c r="N93" s="405"/>
      <c r="O93" s="405"/>
      <c r="P93" s="405"/>
      <c r="Q93" s="405"/>
    </row>
    <row r="94" spans="1:17" s="98" customFormat="1" ht="11.25">
      <c r="A94" s="522"/>
      <c r="B94" s="144" t="s">
        <v>287</v>
      </c>
      <c r="C94" s="534"/>
      <c r="D94" s="537"/>
      <c r="E94" s="400">
        <f>SUM(F94,G94)</f>
        <v>243325</v>
      </c>
      <c r="F94" s="400">
        <v>133693</v>
      </c>
      <c r="G94" s="402">
        <v>109632</v>
      </c>
      <c r="H94" s="406"/>
      <c r="I94" s="406"/>
      <c r="J94" s="406"/>
      <c r="K94" s="406"/>
      <c r="L94" s="406"/>
      <c r="M94" s="407"/>
      <c r="N94" s="408"/>
      <c r="O94" s="408"/>
      <c r="P94" s="408"/>
      <c r="Q94" s="408"/>
    </row>
    <row r="95" spans="1:17" s="98" customFormat="1" ht="11.25">
      <c r="A95" s="522"/>
      <c r="B95" s="144" t="s">
        <v>133</v>
      </c>
      <c r="C95" s="534"/>
      <c r="D95" s="537"/>
      <c r="E95" s="400">
        <f>SUM(F95,G95)</f>
        <v>0</v>
      </c>
      <c r="F95" s="400"/>
      <c r="G95" s="402">
        <v>0</v>
      </c>
      <c r="H95" s="406"/>
      <c r="I95" s="406"/>
      <c r="J95" s="406"/>
      <c r="K95" s="406"/>
      <c r="L95" s="406"/>
      <c r="M95" s="407"/>
      <c r="N95" s="408"/>
      <c r="O95" s="408"/>
      <c r="P95" s="408"/>
      <c r="Q95" s="408"/>
    </row>
    <row r="96" spans="1:17" s="98" customFormat="1" ht="11.25">
      <c r="A96" s="523"/>
      <c r="B96" s="144" t="s">
        <v>134</v>
      </c>
      <c r="C96" s="534"/>
      <c r="D96" s="537"/>
      <c r="E96" s="400">
        <f>SUM(F96,G96)</f>
        <v>0</v>
      </c>
      <c r="F96" s="400">
        <v>0</v>
      </c>
      <c r="G96" s="402">
        <v>0</v>
      </c>
      <c r="H96" s="406"/>
      <c r="I96" s="406"/>
      <c r="J96" s="406"/>
      <c r="K96" s="406"/>
      <c r="L96" s="406"/>
      <c r="M96" s="407"/>
      <c r="N96" s="408"/>
      <c r="O96" s="408"/>
      <c r="P96" s="408"/>
      <c r="Q96" s="408"/>
    </row>
    <row r="97" spans="1:17" ht="12.75" hidden="1">
      <c r="A97" s="554" t="s">
        <v>234</v>
      </c>
      <c r="B97" s="146" t="s">
        <v>69</v>
      </c>
      <c r="C97" s="599" t="s">
        <v>235</v>
      </c>
      <c r="D97" s="600"/>
      <c r="E97" s="600"/>
      <c r="F97" s="600"/>
      <c r="G97" s="600"/>
      <c r="H97" s="600"/>
      <c r="I97" s="600"/>
      <c r="J97" s="600"/>
      <c r="K97" s="600"/>
      <c r="L97" s="600"/>
      <c r="M97" s="600"/>
      <c r="N97" s="600"/>
      <c r="O97" s="600"/>
      <c r="P97" s="600"/>
      <c r="Q97" s="600"/>
    </row>
    <row r="98" spans="1:17" ht="12.75" hidden="1">
      <c r="A98" s="522"/>
      <c r="B98" s="146" t="s">
        <v>70</v>
      </c>
      <c r="C98" s="527" t="s">
        <v>236</v>
      </c>
      <c r="D98" s="601"/>
      <c r="E98" s="601"/>
      <c r="F98" s="601"/>
      <c r="G98" s="601"/>
      <c r="H98" s="601"/>
      <c r="I98" s="601"/>
      <c r="J98" s="601"/>
      <c r="K98" s="601"/>
      <c r="L98" s="601"/>
      <c r="M98" s="601"/>
      <c r="N98" s="601"/>
      <c r="O98" s="601"/>
      <c r="P98" s="601"/>
      <c r="Q98" s="602"/>
    </row>
    <row r="99" spans="1:17" ht="12.75" hidden="1">
      <c r="A99" s="522"/>
      <c r="B99" s="146" t="s">
        <v>71</v>
      </c>
      <c r="C99" s="527"/>
      <c r="D99" s="601"/>
      <c r="E99" s="601"/>
      <c r="F99" s="601"/>
      <c r="G99" s="601"/>
      <c r="H99" s="601"/>
      <c r="I99" s="601"/>
      <c r="J99" s="601"/>
      <c r="K99" s="601"/>
      <c r="L99" s="601"/>
      <c r="M99" s="601"/>
      <c r="N99" s="601"/>
      <c r="O99" s="601"/>
      <c r="P99" s="601"/>
      <c r="Q99" s="602"/>
    </row>
    <row r="100" spans="1:17" ht="12.75" hidden="1">
      <c r="A100" s="522"/>
      <c r="B100" s="146" t="s">
        <v>72</v>
      </c>
      <c r="C100" s="530" t="s">
        <v>237</v>
      </c>
      <c r="D100" s="603"/>
      <c r="E100" s="603"/>
      <c r="F100" s="603"/>
      <c r="G100" s="603"/>
      <c r="H100" s="603"/>
      <c r="I100" s="603"/>
      <c r="J100" s="603"/>
      <c r="K100" s="603"/>
      <c r="L100" s="603"/>
      <c r="M100" s="603"/>
      <c r="N100" s="603"/>
      <c r="O100" s="603"/>
      <c r="P100" s="603"/>
      <c r="Q100" s="604"/>
    </row>
    <row r="101" spans="1:17" ht="11.25" hidden="1">
      <c r="A101" s="522"/>
      <c r="B101" s="146" t="s">
        <v>73</v>
      </c>
      <c r="C101" s="414"/>
      <c r="D101" s="413"/>
      <c r="E101" s="400">
        <f>SUM(F101:G101)</f>
        <v>0</v>
      </c>
      <c r="F101" s="400">
        <f>SUM(F102:F103)</f>
        <v>0</v>
      </c>
      <c r="G101" s="400">
        <f>SUM(G102:G104)</f>
        <v>0</v>
      </c>
      <c r="H101" s="400">
        <f>SUM(I101,M101)</f>
        <v>0</v>
      </c>
      <c r="I101" s="400">
        <f>J101+K101+L101</f>
        <v>0</v>
      </c>
      <c r="J101" s="400">
        <v>0</v>
      </c>
      <c r="K101" s="400">
        <v>0</v>
      </c>
      <c r="L101" s="400">
        <v>0</v>
      </c>
      <c r="M101" s="400">
        <f>N101+O101+P101+Q101</f>
        <v>0</v>
      </c>
      <c r="N101" s="400">
        <v>0</v>
      </c>
      <c r="O101" s="400"/>
      <c r="P101" s="400">
        <v>0</v>
      </c>
      <c r="Q101" s="400">
        <v>0</v>
      </c>
    </row>
    <row r="102" spans="1:17" ht="11.25" hidden="1">
      <c r="A102" s="522"/>
      <c r="B102" s="144" t="s">
        <v>256</v>
      </c>
      <c r="C102" s="613"/>
      <c r="D102" s="536" t="s">
        <v>238</v>
      </c>
      <c r="E102" s="400">
        <f>SUM(F102:G102)</f>
        <v>0</v>
      </c>
      <c r="F102" s="400">
        <f>SUM(I101)</f>
        <v>0</v>
      </c>
      <c r="G102" s="402">
        <f>SUM(M101)</f>
        <v>0</v>
      </c>
      <c r="H102" s="403"/>
      <c r="I102" s="403"/>
      <c r="J102" s="403"/>
      <c r="K102" s="403"/>
      <c r="L102" s="403"/>
      <c r="M102" s="404"/>
      <c r="N102" s="405"/>
      <c r="O102" s="405"/>
      <c r="P102" s="408"/>
      <c r="Q102" s="408"/>
    </row>
    <row r="103" spans="1:17" ht="11.25" hidden="1">
      <c r="A103" s="522"/>
      <c r="B103" s="144" t="s">
        <v>287</v>
      </c>
      <c r="C103" s="614"/>
      <c r="D103" s="537"/>
      <c r="E103" s="400">
        <f>SUM(F103,G103)</f>
        <v>0</v>
      </c>
      <c r="F103" s="400">
        <v>0</v>
      </c>
      <c r="G103" s="402">
        <v>0</v>
      </c>
      <c r="H103" s="406"/>
      <c r="I103" s="406"/>
      <c r="J103" s="406"/>
      <c r="K103" s="406"/>
      <c r="L103" s="406"/>
      <c r="M103" s="407"/>
      <c r="N103" s="408"/>
      <c r="O103" s="408"/>
      <c r="P103" s="408"/>
      <c r="Q103" s="408"/>
    </row>
    <row r="104" spans="1:17" ht="11.25" hidden="1">
      <c r="A104" s="522"/>
      <c r="B104" s="144" t="s">
        <v>133</v>
      </c>
      <c r="C104" s="614"/>
      <c r="D104" s="537"/>
      <c r="E104" s="400">
        <f>SUM(F104,G104)</f>
        <v>0</v>
      </c>
      <c r="F104" s="400">
        <v>0</v>
      </c>
      <c r="G104" s="402">
        <v>0</v>
      </c>
      <c r="H104" s="406"/>
      <c r="I104" s="406"/>
      <c r="J104" s="406"/>
      <c r="K104" s="406"/>
      <c r="L104" s="406"/>
      <c r="M104" s="407"/>
      <c r="N104" s="408"/>
      <c r="O104" s="408"/>
      <c r="P104" s="408"/>
      <c r="Q104" s="408"/>
    </row>
    <row r="105" spans="1:17" ht="11.25" hidden="1">
      <c r="A105" s="522"/>
      <c r="B105" s="144" t="s">
        <v>134</v>
      </c>
      <c r="C105" s="614"/>
      <c r="D105" s="537"/>
      <c r="E105" s="400">
        <f>SUM(F105,G105)</f>
        <v>0</v>
      </c>
      <c r="F105" s="400">
        <v>0</v>
      </c>
      <c r="G105" s="402">
        <v>0</v>
      </c>
      <c r="H105" s="406"/>
      <c r="I105" s="406"/>
      <c r="J105" s="406"/>
      <c r="K105" s="406"/>
      <c r="L105" s="406"/>
      <c r="M105" s="407"/>
      <c r="N105" s="408"/>
      <c r="O105" s="408"/>
      <c r="P105" s="408"/>
      <c r="Q105" s="408"/>
    </row>
    <row r="106" spans="1:17" ht="11.25" hidden="1">
      <c r="A106" s="523"/>
      <c r="B106" s="144" t="s">
        <v>135</v>
      </c>
      <c r="C106" s="615"/>
      <c r="D106" s="538"/>
      <c r="E106" s="400">
        <f>SUM(F106,G106)</f>
        <v>0</v>
      </c>
      <c r="F106" s="400">
        <v>0</v>
      </c>
      <c r="G106" s="402">
        <v>0</v>
      </c>
      <c r="H106" s="409"/>
      <c r="I106" s="409"/>
      <c r="J106" s="409"/>
      <c r="K106" s="409"/>
      <c r="L106" s="409"/>
      <c r="M106" s="410"/>
      <c r="N106" s="411"/>
      <c r="O106" s="411"/>
      <c r="P106" s="411"/>
      <c r="Q106" s="411"/>
    </row>
    <row r="107" spans="1:17" ht="11.25">
      <c r="A107" s="264">
        <v>2</v>
      </c>
      <c r="B107" s="265" t="s">
        <v>75</v>
      </c>
      <c r="C107" s="612" t="s">
        <v>67</v>
      </c>
      <c r="D107" s="612"/>
      <c r="E107" s="315">
        <f>SUM(E112,E131,E141,E210,E150,E160,E170,E180,E121,E200,E210)</f>
        <v>1825481</v>
      </c>
      <c r="F107" s="315">
        <f>SUM(F112,F131,F141,F210,F150,F160,F170,F180,F121,F200,F210)</f>
        <v>219139</v>
      </c>
      <c r="G107" s="315">
        <f>SUM(G112,G131,G141,G210,G150,G160,G170,G180,G121,G200,G210)</f>
        <v>1631221</v>
      </c>
      <c r="H107" s="315">
        <f>SUM(H112,H131,H141,H210,H150,H160,H170,H180,H121,H200,H210)</f>
        <v>1201260</v>
      </c>
      <c r="I107" s="315">
        <f>SUM(I112,I131,I141,I210,I150,I160,I170,I180,I121,I200,I210)</f>
        <v>199247</v>
      </c>
      <c r="J107" s="315">
        <f aca="true" t="shared" si="1" ref="J107:Q107">SUM(J112,J131,J141,J210,J150,J160,J170,J180,J121,J200,J210)</f>
        <v>0</v>
      </c>
      <c r="K107" s="315">
        <f t="shared" si="1"/>
        <v>0</v>
      </c>
      <c r="L107" s="315">
        <f t="shared" si="1"/>
        <v>199247</v>
      </c>
      <c r="M107" s="315">
        <f t="shared" si="1"/>
        <v>1002013</v>
      </c>
      <c r="N107" s="315">
        <f t="shared" si="1"/>
        <v>0</v>
      </c>
      <c r="O107" s="315">
        <f t="shared" si="1"/>
        <v>0</v>
      </c>
      <c r="P107" s="315">
        <f t="shared" si="1"/>
        <v>0</v>
      </c>
      <c r="Q107" s="315">
        <f t="shared" si="1"/>
        <v>1002013</v>
      </c>
    </row>
    <row r="108" spans="1:17" ht="12.75">
      <c r="A108" s="554" t="s">
        <v>239</v>
      </c>
      <c r="B108" s="146" t="s">
        <v>69</v>
      </c>
      <c r="C108" s="599" t="s">
        <v>235</v>
      </c>
      <c r="D108" s="600"/>
      <c r="E108" s="600"/>
      <c r="F108" s="600"/>
      <c r="G108" s="600"/>
      <c r="H108" s="600"/>
      <c r="I108" s="600"/>
      <c r="J108" s="600"/>
      <c r="K108" s="600"/>
      <c r="L108" s="600"/>
      <c r="M108" s="600"/>
      <c r="N108" s="600"/>
      <c r="O108" s="600"/>
      <c r="P108" s="600"/>
      <c r="Q108" s="600"/>
    </row>
    <row r="109" spans="1:17" ht="12.75">
      <c r="A109" s="522"/>
      <c r="B109" s="144" t="s">
        <v>70</v>
      </c>
      <c r="C109" s="527" t="s">
        <v>236</v>
      </c>
      <c r="D109" s="601"/>
      <c r="E109" s="601"/>
      <c r="F109" s="601"/>
      <c r="G109" s="601"/>
      <c r="H109" s="601"/>
      <c r="I109" s="601"/>
      <c r="J109" s="601"/>
      <c r="K109" s="601"/>
      <c r="L109" s="601"/>
      <c r="M109" s="601"/>
      <c r="N109" s="601"/>
      <c r="O109" s="601"/>
      <c r="P109" s="601"/>
      <c r="Q109" s="602"/>
    </row>
    <row r="110" spans="1:17" ht="9.75" customHeight="1">
      <c r="A110" s="522"/>
      <c r="B110" s="144" t="s">
        <v>71</v>
      </c>
      <c r="C110" s="527"/>
      <c r="D110" s="601"/>
      <c r="E110" s="601"/>
      <c r="F110" s="601"/>
      <c r="G110" s="601"/>
      <c r="H110" s="601"/>
      <c r="I110" s="601"/>
      <c r="J110" s="601"/>
      <c r="K110" s="601"/>
      <c r="L110" s="601"/>
      <c r="M110" s="601"/>
      <c r="N110" s="601"/>
      <c r="O110" s="601"/>
      <c r="P110" s="601"/>
      <c r="Q110" s="602"/>
    </row>
    <row r="111" spans="1:17" ht="12.75">
      <c r="A111" s="522"/>
      <c r="B111" s="144" t="s">
        <v>72</v>
      </c>
      <c r="C111" s="530" t="s">
        <v>237</v>
      </c>
      <c r="D111" s="603"/>
      <c r="E111" s="603"/>
      <c r="F111" s="603"/>
      <c r="G111" s="603"/>
      <c r="H111" s="603"/>
      <c r="I111" s="603"/>
      <c r="J111" s="603"/>
      <c r="K111" s="603"/>
      <c r="L111" s="603"/>
      <c r="M111" s="603"/>
      <c r="N111" s="603"/>
      <c r="O111" s="603"/>
      <c r="P111" s="603"/>
      <c r="Q111" s="604"/>
    </row>
    <row r="112" spans="1:17" ht="11.25">
      <c r="A112" s="522"/>
      <c r="B112" s="144" t="s">
        <v>73</v>
      </c>
      <c r="C112" s="414"/>
      <c r="D112" s="413"/>
      <c r="E112" s="400">
        <f>G112</f>
        <v>97010</v>
      </c>
      <c r="F112" s="400">
        <v>0</v>
      </c>
      <c r="G112" s="400">
        <f>SUM(G113:G115)+2102</f>
        <v>97010</v>
      </c>
      <c r="H112" s="400">
        <f>SUM(I112,M112)</f>
        <v>38419</v>
      </c>
      <c r="I112" s="400">
        <f>J112+K112+L112</f>
        <v>0</v>
      </c>
      <c r="J112" s="400">
        <v>0</v>
      </c>
      <c r="K112" s="400">
        <v>0</v>
      </c>
      <c r="L112" s="400">
        <v>0</v>
      </c>
      <c r="M112" s="400">
        <f>N112+O112+P112+Q112</f>
        <v>38419</v>
      </c>
      <c r="N112" s="400">
        <v>0</v>
      </c>
      <c r="O112" s="400"/>
      <c r="P112" s="400">
        <v>0</v>
      </c>
      <c r="Q112" s="400">
        <v>38419</v>
      </c>
    </row>
    <row r="113" spans="1:17" ht="11.25">
      <c r="A113" s="522"/>
      <c r="B113" s="144" t="s">
        <v>256</v>
      </c>
      <c r="C113" s="414"/>
      <c r="D113" s="413"/>
      <c r="E113" s="400">
        <f>SUM(F113:G113)</f>
        <v>38419</v>
      </c>
      <c r="F113" s="400">
        <f>SUM(I112)</f>
        <v>0</v>
      </c>
      <c r="G113" s="402">
        <f>SUM(M112)</f>
        <v>38419</v>
      </c>
      <c r="H113" s="441"/>
      <c r="I113" s="441"/>
      <c r="J113" s="441"/>
      <c r="K113" s="441"/>
      <c r="L113" s="441"/>
      <c r="M113" s="442"/>
      <c r="N113" s="443"/>
      <c r="O113" s="443"/>
      <c r="P113" s="411"/>
      <c r="Q113" s="411"/>
    </row>
    <row r="114" spans="1:17" ht="15.75" customHeight="1">
      <c r="A114" s="522"/>
      <c r="B114" s="144" t="s">
        <v>287</v>
      </c>
      <c r="C114" s="415"/>
      <c r="D114" s="536" t="s">
        <v>238</v>
      </c>
      <c r="E114" s="400">
        <f>SUM(F114,G114)</f>
        <v>41423</v>
      </c>
      <c r="F114" s="400">
        <v>0</v>
      </c>
      <c r="G114" s="402">
        <v>41423</v>
      </c>
      <c r="H114" s="403"/>
      <c r="I114" s="403"/>
      <c r="J114" s="403"/>
      <c r="K114" s="403"/>
      <c r="L114" s="403"/>
      <c r="M114" s="404"/>
      <c r="N114" s="405"/>
      <c r="O114" s="405"/>
      <c r="P114" s="405"/>
      <c r="Q114" s="405"/>
    </row>
    <row r="115" spans="1:17" ht="11.25">
      <c r="A115" s="522"/>
      <c r="B115" s="144" t="s">
        <v>133</v>
      </c>
      <c r="C115" s="416"/>
      <c r="D115" s="537"/>
      <c r="E115" s="400">
        <f>SUM(F115,G115)</f>
        <v>15066</v>
      </c>
      <c r="F115" s="400">
        <v>0</v>
      </c>
      <c r="G115" s="402">
        <v>15066</v>
      </c>
      <c r="H115" s="406"/>
      <c r="I115" s="406"/>
      <c r="J115" s="406"/>
      <c r="K115" s="406"/>
      <c r="L115" s="406"/>
      <c r="M115" s="407"/>
      <c r="N115" s="408"/>
      <c r="O115" s="408"/>
      <c r="P115" s="408"/>
      <c r="Q115" s="408"/>
    </row>
    <row r="116" spans="1:17" ht="11.25">
      <c r="A116" s="523"/>
      <c r="B116" s="144" t="s">
        <v>134</v>
      </c>
      <c r="C116" s="417"/>
      <c r="D116" s="538"/>
      <c r="E116" s="400">
        <f>SUM(F116,G116)</f>
        <v>0</v>
      </c>
      <c r="F116" s="400">
        <v>0</v>
      </c>
      <c r="G116" s="402">
        <v>0</v>
      </c>
      <c r="H116" s="409"/>
      <c r="I116" s="409"/>
      <c r="J116" s="409"/>
      <c r="K116" s="409"/>
      <c r="L116" s="409"/>
      <c r="M116" s="410"/>
      <c r="N116" s="411"/>
      <c r="O116" s="411"/>
      <c r="P116" s="411"/>
      <c r="Q116" s="411"/>
    </row>
    <row r="117" spans="1:17" ht="12.75">
      <c r="A117" s="522" t="s">
        <v>240</v>
      </c>
      <c r="B117" s="146" t="s">
        <v>69</v>
      </c>
      <c r="C117" s="599" t="s">
        <v>241</v>
      </c>
      <c r="D117" s="600"/>
      <c r="E117" s="600"/>
      <c r="F117" s="600"/>
      <c r="G117" s="600"/>
      <c r="H117" s="600"/>
      <c r="I117" s="600"/>
      <c r="J117" s="600"/>
      <c r="K117" s="600"/>
      <c r="L117" s="600"/>
      <c r="M117" s="600"/>
      <c r="N117" s="600"/>
      <c r="O117" s="600"/>
      <c r="P117" s="600"/>
      <c r="Q117" s="600"/>
    </row>
    <row r="118" spans="1:17" ht="12.75">
      <c r="A118" s="522"/>
      <c r="B118" s="146" t="s">
        <v>70</v>
      </c>
      <c r="C118" s="527" t="s">
        <v>242</v>
      </c>
      <c r="D118" s="528"/>
      <c r="E118" s="528"/>
      <c r="F118" s="528"/>
      <c r="G118" s="528"/>
      <c r="H118" s="528"/>
      <c r="I118" s="528"/>
      <c r="J118" s="528"/>
      <c r="K118" s="528"/>
      <c r="L118" s="528"/>
      <c r="M118" s="528"/>
      <c r="N118" s="528"/>
      <c r="O118" s="528"/>
      <c r="P118" s="528"/>
      <c r="Q118" s="529"/>
    </row>
    <row r="119" spans="1:17" ht="12.75">
      <c r="A119" s="522"/>
      <c r="B119" s="146" t="s">
        <v>71</v>
      </c>
      <c r="C119" s="527" t="s">
        <v>7</v>
      </c>
      <c r="D119" s="528"/>
      <c r="E119" s="528"/>
      <c r="F119" s="528"/>
      <c r="G119" s="528"/>
      <c r="H119" s="528"/>
      <c r="I119" s="528"/>
      <c r="J119" s="528"/>
      <c r="K119" s="528"/>
      <c r="L119" s="528"/>
      <c r="M119" s="528"/>
      <c r="N119" s="528"/>
      <c r="O119" s="528"/>
      <c r="P119" s="528"/>
      <c r="Q119" s="529"/>
    </row>
    <row r="120" spans="1:17" ht="12.75">
      <c r="A120" s="522"/>
      <c r="B120" s="146" t="s">
        <v>72</v>
      </c>
      <c r="C120" s="530" t="s">
        <v>438</v>
      </c>
      <c r="D120" s="531"/>
      <c r="E120" s="531"/>
      <c r="F120" s="531"/>
      <c r="G120" s="531"/>
      <c r="H120" s="531"/>
      <c r="I120" s="531"/>
      <c r="J120" s="531"/>
      <c r="K120" s="531"/>
      <c r="L120" s="531"/>
      <c r="M120" s="531"/>
      <c r="N120" s="531"/>
      <c r="O120" s="531"/>
      <c r="P120" s="531"/>
      <c r="Q120" s="532"/>
    </row>
    <row r="121" spans="1:17" ht="11.25">
      <c r="A121" s="522"/>
      <c r="B121" s="146" t="s">
        <v>73</v>
      </c>
      <c r="C121" s="414"/>
      <c r="D121" s="413"/>
      <c r="E121" s="400">
        <f>SUM(G121)</f>
        <v>76500</v>
      </c>
      <c r="F121" s="400">
        <f>SUM(F122:F123)</f>
        <v>13500</v>
      </c>
      <c r="G121" s="400">
        <f>SUM(G122:G123)</f>
        <v>76500</v>
      </c>
      <c r="H121" s="400">
        <f>SUM(I121,M121)</f>
        <v>46345</v>
      </c>
      <c r="I121" s="400">
        <f>J121+K121+L121</f>
        <v>6951</v>
      </c>
      <c r="J121" s="400">
        <v>0</v>
      </c>
      <c r="K121" s="400">
        <v>0</v>
      </c>
      <c r="L121" s="400">
        <v>6951</v>
      </c>
      <c r="M121" s="400">
        <f>N121+O121+P121+Q121</f>
        <v>39394</v>
      </c>
      <c r="N121" s="400">
        <v>0</v>
      </c>
      <c r="O121" s="400"/>
      <c r="P121" s="400">
        <v>0</v>
      </c>
      <c r="Q121" s="400">
        <v>39394</v>
      </c>
    </row>
    <row r="122" spans="1:17" ht="11.25">
      <c r="A122" s="522"/>
      <c r="B122" s="144" t="s">
        <v>256</v>
      </c>
      <c r="C122" s="533">
        <v>73</v>
      </c>
      <c r="D122" s="536" t="s">
        <v>245</v>
      </c>
      <c r="E122" s="400">
        <f>SUM(F122:G122)</f>
        <v>46345</v>
      </c>
      <c r="F122" s="400">
        <v>6951</v>
      </c>
      <c r="G122" s="402">
        <v>39394</v>
      </c>
      <c r="H122" s="403"/>
      <c r="I122" s="403"/>
      <c r="J122" s="403"/>
      <c r="K122" s="403"/>
      <c r="L122" s="403"/>
      <c r="M122" s="404"/>
      <c r="N122" s="405"/>
      <c r="O122" s="405"/>
      <c r="P122" s="405"/>
      <c r="Q122" s="405"/>
    </row>
    <row r="123" spans="1:17" ht="11.25">
      <c r="A123" s="522"/>
      <c r="B123" s="144" t="s">
        <v>287</v>
      </c>
      <c r="C123" s="534"/>
      <c r="D123" s="537"/>
      <c r="E123" s="400">
        <f>SUM(F123,G123)</f>
        <v>43655</v>
      </c>
      <c r="F123" s="400">
        <f>983+5566</f>
        <v>6549</v>
      </c>
      <c r="G123" s="402">
        <v>37106</v>
      </c>
      <c r="H123" s="406"/>
      <c r="I123" s="406"/>
      <c r="J123" s="406"/>
      <c r="K123" s="406"/>
      <c r="L123" s="406"/>
      <c r="M123" s="407"/>
      <c r="N123" s="408"/>
      <c r="O123" s="408"/>
      <c r="P123" s="408"/>
      <c r="Q123" s="408"/>
    </row>
    <row r="124" spans="1:17" ht="11.25">
      <c r="A124" s="522"/>
      <c r="B124" s="144" t="s">
        <v>133</v>
      </c>
      <c r="C124" s="534"/>
      <c r="D124" s="537"/>
      <c r="E124" s="400">
        <f>SUM(F124,G124)</f>
        <v>0</v>
      </c>
      <c r="F124" s="400">
        <v>0</v>
      </c>
      <c r="G124" s="402">
        <v>0</v>
      </c>
      <c r="H124" s="406"/>
      <c r="I124" s="406"/>
      <c r="J124" s="406"/>
      <c r="K124" s="406"/>
      <c r="L124" s="406"/>
      <c r="M124" s="407"/>
      <c r="N124" s="408"/>
      <c r="O124" s="408"/>
      <c r="P124" s="408"/>
      <c r="Q124" s="408"/>
    </row>
    <row r="125" spans="1:17" ht="11.25">
      <c r="A125" s="522"/>
      <c r="B125" s="144" t="s">
        <v>134</v>
      </c>
      <c r="C125" s="534"/>
      <c r="D125" s="537"/>
      <c r="E125" s="400">
        <f>SUM(F125,G125)</f>
        <v>0</v>
      </c>
      <c r="F125" s="400">
        <v>0</v>
      </c>
      <c r="G125" s="402">
        <v>0</v>
      </c>
      <c r="H125" s="406"/>
      <c r="I125" s="406"/>
      <c r="J125" s="406"/>
      <c r="K125" s="406"/>
      <c r="L125" s="406"/>
      <c r="M125" s="407"/>
      <c r="N125" s="408"/>
      <c r="O125" s="408"/>
      <c r="P125" s="408"/>
      <c r="Q125" s="408"/>
    </row>
    <row r="126" spans="1:17" ht="9.75" customHeight="1">
      <c r="A126" s="523"/>
      <c r="B126" s="144" t="s">
        <v>135</v>
      </c>
      <c r="C126" s="535"/>
      <c r="D126" s="538"/>
      <c r="E126" s="400">
        <f>SUM(F126,G126)</f>
        <v>0</v>
      </c>
      <c r="F126" s="400">
        <v>0</v>
      </c>
      <c r="G126" s="402">
        <v>0</v>
      </c>
      <c r="H126" s="409"/>
      <c r="I126" s="409"/>
      <c r="J126" s="409"/>
      <c r="K126" s="409"/>
      <c r="L126" s="409"/>
      <c r="M126" s="410"/>
      <c r="N126" s="411"/>
      <c r="O126" s="411"/>
      <c r="P126" s="411"/>
      <c r="Q126" s="411"/>
    </row>
    <row r="127" spans="1:17" ht="12.75">
      <c r="A127" s="554" t="s">
        <v>246</v>
      </c>
      <c r="B127" s="146" t="s">
        <v>69</v>
      </c>
      <c r="C127" s="599" t="s">
        <v>241</v>
      </c>
      <c r="D127" s="600"/>
      <c r="E127" s="600"/>
      <c r="F127" s="600"/>
      <c r="G127" s="600"/>
      <c r="H127" s="600"/>
      <c r="I127" s="600"/>
      <c r="J127" s="600"/>
      <c r="K127" s="600"/>
      <c r="L127" s="600"/>
      <c r="M127" s="600"/>
      <c r="N127" s="600"/>
      <c r="O127" s="600"/>
      <c r="P127" s="600"/>
      <c r="Q127" s="600"/>
    </row>
    <row r="128" spans="1:17" ht="12.75">
      <c r="A128" s="522"/>
      <c r="B128" s="146" t="s">
        <v>70</v>
      </c>
      <c r="C128" s="527" t="s">
        <v>242</v>
      </c>
      <c r="D128" s="601"/>
      <c r="E128" s="601"/>
      <c r="F128" s="601"/>
      <c r="G128" s="601"/>
      <c r="H128" s="601"/>
      <c r="I128" s="601"/>
      <c r="J128" s="601"/>
      <c r="K128" s="601"/>
      <c r="L128" s="601"/>
      <c r="M128" s="601"/>
      <c r="N128" s="601"/>
      <c r="O128" s="601"/>
      <c r="P128" s="601"/>
      <c r="Q128" s="602"/>
    </row>
    <row r="129" spans="1:17" ht="12" customHeight="1">
      <c r="A129" s="522"/>
      <c r="B129" s="146" t="s">
        <v>71</v>
      </c>
      <c r="C129" s="527" t="s">
        <v>243</v>
      </c>
      <c r="D129" s="601"/>
      <c r="E129" s="601"/>
      <c r="F129" s="601"/>
      <c r="G129" s="601"/>
      <c r="H129" s="601"/>
      <c r="I129" s="601"/>
      <c r="J129" s="601"/>
      <c r="K129" s="601"/>
      <c r="L129" s="601"/>
      <c r="M129" s="601"/>
      <c r="N129" s="601"/>
      <c r="O129" s="601"/>
      <c r="P129" s="601"/>
      <c r="Q129" s="602"/>
    </row>
    <row r="130" spans="1:17" ht="12.75">
      <c r="A130" s="522"/>
      <c r="B130" s="146" t="s">
        <v>72</v>
      </c>
      <c r="C130" s="530" t="s">
        <v>244</v>
      </c>
      <c r="D130" s="603"/>
      <c r="E130" s="603"/>
      <c r="F130" s="603"/>
      <c r="G130" s="603"/>
      <c r="H130" s="603"/>
      <c r="I130" s="603"/>
      <c r="J130" s="603"/>
      <c r="K130" s="603"/>
      <c r="L130" s="603"/>
      <c r="M130" s="603"/>
      <c r="N130" s="603"/>
      <c r="O130" s="603"/>
      <c r="P130" s="603"/>
      <c r="Q130" s="604"/>
    </row>
    <row r="131" spans="1:17" ht="11.25">
      <c r="A131" s="522"/>
      <c r="B131" s="146" t="s">
        <v>73</v>
      </c>
      <c r="C131" s="414"/>
      <c r="D131" s="413"/>
      <c r="E131" s="400">
        <f>SUM(G131)</f>
        <v>154785</v>
      </c>
      <c r="F131" s="400">
        <f>SUM(F132:F135)</f>
        <v>11379</v>
      </c>
      <c r="G131" s="400">
        <v>154785</v>
      </c>
      <c r="H131" s="400">
        <f>SUM(I131,M131)</f>
        <v>75861</v>
      </c>
      <c r="I131" s="400">
        <f>J131+K131+L131</f>
        <v>11379</v>
      </c>
      <c r="J131" s="400">
        <v>0</v>
      </c>
      <c r="K131" s="400">
        <v>0</v>
      </c>
      <c r="L131" s="400">
        <v>11379</v>
      </c>
      <c r="M131" s="400">
        <f>N131+O131+P131+Q131</f>
        <v>64482</v>
      </c>
      <c r="N131" s="400">
        <v>0</v>
      </c>
      <c r="O131" s="400"/>
      <c r="P131" s="400">
        <v>0</v>
      </c>
      <c r="Q131" s="400">
        <f>75861-11379</f>
        <v>64482</v>
      </c>
    </row>
    <row r="132" spans="1:17" ht="11.25">
      <c r="A132" s="522"/>
      <c r="B132" s="144" t="s">
        <v>256</v>
      </c>
      <c r="C132" s="533">
        <v>73</v>
      </c>
      <c r="D132" s="536" t="s">
        <v>245</v>
      </c>
      <c r="E132" s="400">
        <f>SUM(F132:G132)</f>
        <v>75861</v>
      </c>
      <c r="F132" s="400">
        <f>SUM(I131)</f>
        <v>11379</v>
      </c>
      <c r="G132" s="402">
        <f>SUM(M131)</f>
        <v>64482</v>
      </c>
      <c r="H132" s="403"/>
      <c r="I132" s="403"/>
      <c r="J132" s="403"/>
      <c r="K132" s="403"/>
      <c r="L132" s="403"/>
      <c r="M132" s="404"/>
      <c r="N132" s="405"/>
      <c r="O132" s="405"/>
      <c r="P132" s="405"/>
      <c r="Q132" s="405"/>
    </row>
    <row r="133" spans="1:17" ht="11.25">
      <c r="A133" s="522"/>
      <c r="B133" s="144" t="s">
        <v>287</v>
      </c>
      <c r="C133" s="534"/>
      <c r="D133" s="537"/>
      <c r="E133" s="400">
        <f>SUM(F133,G133)</f>
        <v>0</v>
      </c>
      <c r="F133" s="400">
        <v>0</v>
      </c>
      <c r="G133" s="402">
        <v>0</v>
      </c>
      <c r="H133" s="406"/>
      <c r="I133" s="406"/>
      <c r="J133" s="406"/>
      <c r="K133" s="406"/>
      <c r="L133" s="406"/>
      <c r="M133" s="407"/>
      <c r="N133" s="408"/>
      <c r="O133" s="408"/>
      <c r="P133" s="408"/>
      <c r="Q133" s="408"/>
    </row>
    <row r="134" spans="1:17" ht="11.25">
      <c r="A134" s="522"/>
      <c r="B134" s="144" t="s">
        <v>133</v>
      </c>
      <c r="C134" s="534"/>
      <c r="D134" s="537"/>
      <c r="E134" s="400">
        <f>SUM(F134,G134)</f>
        <v>0</v>
      </c>
      <c r="F134" s="400">
        <v>0</v>
      </c>
      <c r="G134" s="402">
        <v>0</v>
      </c>
      <c r="H134" s="406"/>
      <c r="I134" s="406"/>
      <c r="J134" s="406"/>
      <c r="K134" s="406"/>
      <c r="L134" s="406"/>
      <c r="M134" s="407"/>
      <c r="N134" s="408"/>
      <c r="O134" s="408"/>
      <c r="P134" s="408"/>
      <c r="Q134" s="408"/>
    </row>
    <row r="135" spans="1:17" ht="11.25">
      <c r="A135" s="522"/>
      <c r="B135" s="144" t="s">
        <v>134</v>
      </c>
      <c r="C135" s="534"/>
      <c r="D135" s="537"/>
      <c r="E135" s="400">
        <f>SUM(F135,G135)</f>
        <v>0</v>
      </c>
      <c r="F135" s="400">
        <v>0</v>
      </c>
      <c r="G135" s="402">
        <v>0</v>
      </c>
      <c r="H135" s="406"/>
      <c r="I135" s="406"/>
      <c r="J135" s="406"/>
      <c r="K135" s="406"/>
      <c r="L135" s="406"/>
      <c r="M135" s="407"/>
      <c r="N135" s="408"/>
      <c r="O135" s="408"/>
      <c r="P135" s="408"/>
      <c r="Q135" s="408"/>
    </row>
    <row r="136" spans="1:17" ht="11.25">
      <c r="A136" s="523"/>
      <c r="B136" s="144" t="s">
        <v>135</v>
      </c>
      <c r="C136" s="535"/>
      <c r="D136" s="538"/>
      <c r="E136" s="400">
        <f>SUM(F136,G136)</f>
        <v>0</v>
      </c>
      <c r="F136" s="400">
        <v>0</v>
      </c>
      <c r="G136" s="402">
        <v>0</v>
      </c>
      <c r="H136" s="409"/>
      <c r="I136" s="409"/>
      <c r="J136" s="409"/>
      <c r="K136" s="409"/>
      <c r="L136" s="409"/>
      <c r="M136" s="410"/>
      <c r="N136" s="411"/>
      <c r="O136" s="411"/>
      <c r="P136" s="411"/>
      <c r="Q136" s="411"/>
    </row>
    <row r="137" spans="1:17" ht="12.75">
      <c r="A137" s="554" t="s">
        <v>249</v>
      </c>
      <c r="B137" s="146" t="s">
        <v>69</v>
      </c>
      <c r="C137" s="599" t="s">
        <v>241</v>
      </c>
      <c r="D137" s="526"/>
      <c r="E137" s="526"/>
      <c r="F137" s="526"/>
      <c r="G137" s="526"/>
      <c r="H137" s="526"/>
      <c r="I137" s="526"/>
      <c r="J137" s="526"/>
      <c r="K137" s="526"/>
      <c r="L137" s="526"/>
      <c r="M137" s="526"/>
      <c r="N137" s="526"/>
      <c r="O137" s="526"/>
      <c r="P137" s="526"/>
      <c r="Q137" s="526"/>
    </row>
    <row r="138" spans="1:17" ht="12.75">
      <c r="A138" s="522"/>
      <c r="B138" s="146" t="s">
        <v>70</v>
      </c>
      <c r="C138" s="527" t="s">
        <v>247</v>
      </c>
      <c r="D138" s="528"/>
      <c r="E138" s="528"/>
      <c r="F138" s="528"/>
      <c r="G138" s="528"/>
      <c r="H138" s="528"/>
      <c r="I138" s="528"/>
      <c r="J138" s="528"/>
      <c r="K138" s="528"/>
      <c r="L138" s="528"/>
      <c r="M138" s="528"/>
      <c r="N138" s="528"/>
      <c r="O138" s="528"/>
      <c r="P138" s="528"/>
      <c r="Q138" s="529"/>
    </row>
    <row r="139" spans="1:17" ht="12.75">
      <c r="A139" s="522"/>
      <c r="B139" s="146" t="s">
        <v>71</v>
      </c>
      <c r="C139" s="527" t="s">
        <v>248</v>
      </c>
      <c r="D139" s="528"/>
      <c r="E139" s="528"/>
      <c r="F139" s="528"/>
      <c r="G139" s="528"/>
      <c r="H139" s="528"/>
      <c r="I139" s="528"/>
      <c r="J139" s="528"/>
      <c r="K139" s="528"/>
      <c r="L139" s="528"/>
      <c r="M139" s="528"/>
      <c r="N139" s="528"/>
      <c r="O139" s="528"/>
      <c r="P139" s="528"/>
      <c r="Q139" s="529"/>
    </row>
    <row r="140" spans="1:17" ht="12.75">
      <c r="A140" s="522"/>
      <c r="B140" s="146" t="s">
        <v>72</v>
      </c>
      <c r="C140" s="530" t="s">
        <v>10</v>
      </c>
      <c r="D140" s="531"/>
      <c r="E140" s="531"/>
      <c r="F140" s="531"/>
      <c r="G140" s="531"/>
      <c r="H140" s="531"/>
      <c r="I140" s="531"/>
      <c r="J140" s="531"/>
      <c r="K140" s="531"/>
      <c r="L140" s="531"/>
      <c r="M140" s="531"/>
      <c r="N140" s="531"/>
      <c r="O140" s="531"/>
      <c r="P140" s="531"/>
      <c r="Q140" s="532"/>
    </row>
    <row r="141" spans="1:17" ht="11.25">
      <c r="A141" s="522"/>
      <c r="B141" s="146" t="s">
        <v>73</v>
      </c>
      <c r="C141" s="412"/>
      <c r="D141" s="413"/>
      <c r="E141" s="400">
        <f>SUM(G141)</f>
        <v>493914</v>
      </c>
      <c r="F141" s="400">
        <f>SUM(F142:F145)</f>
        <v>0</v>
      </c>
      <c r="G141" s="400">
        <f>SUM(G142:G145)+48548</f>
        <v>493914</v>
      </c>
      <c r="H141" s="400">
        <f>SUM(I141,M141)</f>
        <v>126323</v>
      </c>
      <c r="I141" s="400">
        <f>J141+K141+L141</f>
        <v>0</v>
      </c>
      <c r="J141" s="400">
        <v>0</v>
      </c>
      <c r="K141" s="400">
        <v>0</v>
      </c>
      <c r="L141" s="400">
        <v>0</v>
      </c>
      <c r="M141" s="400">
        <f>N141+O141+P141+Q141</f>
        <v>126323</v>
      </c>
      <c r="N141" s="400">
        <v>0</v>
      </c>
      <c r="O141" s="400"/>
      <c r="P141" s="400">
        <v>0</v>
      </c>
      <c r="Q141" s="400">
        <v>126323</v>
      </c>
    </row>
    <row r="142" spans="1:17" ht="11.25">
      <c r="A142" s="522"/>
      <c r="B142" s="144" t="s">
        <v>256</v>
      </c>
      <c r="C142" s="533">
        <v>65</v>
      </c>
      <c r="D142" s="536" t="s">
        <v>245</v>
      </c>
      <c r="E142" s="400">
        <f>SUM(F142:G142)</f>
        <v>126323</v>
      </c>
      <c r="F142" s="400">
        <f>SUM(I141)</f>
        <v>0</v>
      </c>
      <c r="G142" s="402">
        <f>SUM(M141)</f>
        <v>126323</v>
      </c>
      <c r="H142" s="403"/>
      <c r="I142" s="403"/>
      <c r="J142" s="403"/>
      <c r="K142" s="403"/>
      <c r="L142" s="403"/>
      <c r="M142" s="404"/>
      <c r="N142" s="405"/>
      <c r="O142" s="405"/>
      <c r="P142" s="408"/>
      <c r="Q142" s="408"/>
    </row>
    <row r="143" spans="1:17" ht="11.25">
      <c r="A143" s="522"/>
      <c r="B143" s="144" t="s">
        <v>287</v>
      </c>
      <c r="C143" s="534"/>
      <c r="D143" s="537"/>
      <c r="E143" s="400">
        <f>SUM(F143,G143)</f>
        <v>110312</v>
      </c>
      <c r="F143" s="400">
        <v>0</v>
      </c>
      <c r="G143" s="402">
        <v>110312</v>
      </c>
      <c r="H143" s="406"/>
      <c r="I143" s="406"/>
      <c r="J143" s="406"/>
      <c r="K143" s="406"/>
      <c r="L143" s="406"/>
      <c r="M143" s="407"/>
      <c r="N143" s="408"/>
      <c r="O143" s="408"/>
      <c r="P143" s="408"/>
      <c r="Q143" s="408"/>
    </row>
    <row r="144" spans="1:17" ht="11.25">
      <c r="A144" s="522"/>
      <c r="B144" s="144" t="s">
        <v>133</v>
      </c>
      <c r="C144" s="534"/>
      <c r="D144" s="537"/>
      <c r="E144" s="400">
        <f>SUM(F144,G144)</f>
        <v>117613</v>
      </c>
      <c r="F144" s="400">
        <v>0</v>
      </c>
      <c r="G144" s="402">
        <v>117613</v>
      </c>
      <c r="H144" s="406"/>
      <c r="I144" s="406"/>
      <c r="J144" s="406"/>
      <c r="K144" s="406"/>
      <c r="L144" s="406"/>
      <c r="M144" s="407"/>
      <c r="N144" s="408"/>
      <c r="O144" s="408"/>
      <c r="P144" s="408"/>
      <c r="Q144" s="408"/>
    </row>
    <row r="145" spans="1:17" ht="11.25">
      <c r="A145" s="523"/>
      <c r="B145" s="144" t="s">
        <v>134</v>
      </c>
      <c r="C145" s="535"/>
      <c r="D145" s="538"/>
      <c r="E145" s="400">
        <f>SUM(F145,G145)</f>
        <v>91118</v>
      </c>
      <c r="F145" s="400">
        <v>0</v>
      </c>
      <c r="G145" s="402">
        <v>91118</v>
      </c>
      <c r="H145" s="409"/>
      <c r="I145" s="409"/>
      <c r="J145" s="409"/>
      <c r="K145" s="409"/>
      <c r="L145" s="409"/>
      <c r="M145" s="410"/>
      <c r="N145" s="411"/>
      <c r="O145" s="411"/>
      <c r="P145" s="411"/>
      <c r="Q145" s="411"/>
    </row>
    <row r="146" spans="1:17" ht="12.75">
      <c r="A146" s="554" t="s">
        <v>147</v>
      </c>
      <c r="B146" s="146" t="s">
        <v>69</v>
      </c>
      <c r="C146" s="599" t="s">
        <v>241</v>
      </c>
      <c r="D146" s="526"/>
      <c r="E146" s="526"/>
      <c r="F146" s="526"/>
      <c r="G146" s="526"/>
      <c r="H146" s="526"/>
      <c r="I146" s="526"/>
      <c r="J146" s="526"/>
      <c r="K146" s="526"/>
      <c r="L146" s="526"/>
      <c r="M146" s="526"/>
      <c r="N146" s="526"/>
      <c r="O146" s="526"/>
      <c r="P146" s="526"/>
      <c r="Q146" s="526"/>
    </row>
    <row r="147" spans="1:17" ht="12.75">
      <c r="A147" s="522"/>
      <c r="B147" s="146" t="s">
        <v>70</v>
      </c>
      <c r="C147" s="527" t="s">
        <v>250</v>
      </c>
      <c r="D147" s="528"/>
      <c r="E147" s="528"/>
      <c r="F147" s="528"/>
      <c r="G147" s="528"/>
      <c r="H147" s="528"/>
      <c r="I147" s="528"/>
      <c r="J147" s="528"/>
      <c r="K147" s="528"/>
      <c r="L147" s="528"/>
      <c r="M147" s="528"/>
      <c r="N147" s="528"/>
      <c r="O147" s="528"/>
      <c r="P147" s="528"/>
      <c r="Q147" s="529"/>
    </row>
    <row r="148" spans="1:17" ht="12.75">
      <c r="A148" s="522"/>
      <c r="B148" s="146" t="s">
        <v>71</v>
      </c>
      <c r="C148" s="527" t="s">
        <v>251</v>
      </c>
      <c r="D148" s="528"/>
      <c r="E148" s="528"/>
      <c r="F148" s="528"/>
      <c r="G148" s="528"/>
      <c r="H148" s="528"/>
      <c r="I148" s="528"/>
      <c r="J148" s="528"/>
      <c r="K148" s="528"/>
      <c r="L148" s="528"/>
      <c r="M148" s="528"/>
      <c r="N148" s="528"/>
      <c r="O148" s="528"/>
      <c r="P148" s="528"/>
      <c r="Q148" s="529"/>
    </row>
    <row r="149" spans="1:17" ht="12.75">
      <c r="A149" s="522"/>
      <c r="B149" s="146" t="s">
        <v>72</v>
      </c>
      <c r="C149" s="530" t="s">
        <v>9</v>
      </c>
      <c r="D149" s="531"/>
      <c r="E149" s="531"/>
      <c r="F149" s="531"/>
      <c r="G149" s="531"/>
      <c r="H149" s="531"/>
      <c r="I149" s="531"/>
      <c r="J149" s="531"/>
      <c r="K149" s="531"/>
      <c r="L149" s="531"/>
      <c r="M149" s="531"/>
      <c r="N149" s="531"/>
      <c r="O149" s="531"/>
      <c r="P149" s="531"/>
      <c r="Q149" s="532"/>
    </row>
    <row r="150" spans="1:17" ht="11.25">
      <c r="A150" s="522"/>
      <c r="B150" s="146" t="s">
        <v>73</v>
      </c>
      <c r="C150" s="412"/>
      <c r="D150" s="413"/>
      <c r="E150" s="400">
        <f>SUM(E151:E154)</f>
        <v>145584</v>
      </c>
      <c r="F150" s="400">
        <f>SUM(F151:F154)</f>
        <v>21838</v>
      </c>
      <c r="G150" s="400">
        <f>SUM(G151:G153)</f>
        <v>123746</v>
      </c>
      <c r="H150" s="400">
        <f>SUM(I150,M150)</f>
        <v>145584</v>
      </c>
      <c r="I150" s="400">
        <f>J150+K150+L150</f>
        <v>21838</v>
      </c>
      <c r="J150" s="400">
        <v>0</v>
      </c>
      <c r="K150" s="400">
        <v>0</v>
      </c>
      <c r="L150" s="400">
        <v>21838</v>
      </c>
      <c r="M150" s="400">
        <f>N150+O150+P150+Q150</f>
        <v>123746</v>
      </c>
      <c r="N150" s="400">
        <v>0</v>
      </c>
      <c r="O150" s="400"/>
      <c r="P150" s="400">
        <v>0</v>
      </c>
      <c r="Q150" s="400">
        <v>123746</v>
      </c>
    </row>
    <row r="151" spans="1:17" ht="11.25">
      <c r="A151" s="522"/>
      <c r="B151" s="144" t="s">
        <v>256</v>
      </c>
      <c r="C151" s="533">
        <v>71</v>
      </c>
      <c r="D151" s="536" t="s">
        <v>245</v>
      </c>
      <c r="E151" s="400">
        <f>SUM(F151:G151)</f>
        <v>145584</v>
      </c>
      <c r="F151" s="400">
        <f>SUM(I150)</f>
        <v>21838</v>
      </c>
      <c r="G151" s="402">
        <f>SUM(M150)</f>
        <v>123746</v>
      </c>
      <c r="H151" s="403"/>
      <c r="I151" s="403"/>
      <c r="J151" s="403"/>
      <c r="K151" s="403"/>
      <c r="L151" s="403"/>
      <c r="M151" s="404"/>
      <c r="N151" s="405"/>
      <c r="O151" s="405"/>
      <c r="P151" s="408"/>
      <c r="Q151" s="408"/>
    </row>
    <row r="152" spans="1:17" ht="11.25">
      <c r="A152" s="522"/>
      <c r="B152" s="144" t="s">
        <v>287</v>
      </c>
      <c r="C152" s="534"/>
      <c r="D152" s="537"/>
      <c r="E152" s="400">
        <f>SUM(F152,G152)</f>
        <v>0</v>
      </c>
      <c r="F152" s="400">
        <v>0</v>
      </c>
      <c r="G152" s="402">
        <v>0</v>
      </c>
      <c r="H152" s="406"/>
      <c r="I152" s="406"/>
      <c r="J152" s="406"/>
      <c r="K152" s="406"/>
      <c r="L152" s="406"/>
      <c r="M152" s="407"/>
      <c r="N152" s="408"/>
      <c r="O152" s="408"/>
      <c r="P152" s="408"/>
      <c r="Q152" s="408"/>
    </row>
    <row r="153" spans="1:17" ht="11.25">
      <c r="A153" s="522"/>
      <c r="B153" s="144" t="s">
        <v>133</v>
      </c>
      <c r="C153" s="534"/>
      <c r="D153" s="537"/>
      <c r="E153" s="400">
        <f>SUM(F153,G153)</f>
        <v>0</v>
      </c>
      <c r="F153" s="400">
        <v>0</v>
      </c>
      <c r="G153" s="402">
        <v>0</v>
      </c>
      <c r="H153" s="406"/>
      <c r="I153" s="406"/>
      <c r="J153" s="406"/>
      <c r="K153" s="406"/>
      <c r="L153" s="406"/>
      <c r="M153" s="407"/>
      <c r="N153" s="408"/>
      <c r="O153" s="408"/>
      <c r="P153" s="408"/>
      <c r="Q153" s="408"/>
    </row>
    <row r="154" spans="1:17" ht="11.25">
      <c r="A154" s="522"/>
      <c r="B154" s="144" t="s">
        <v>134</v>
      </c>
      <c r="C154" s="534"/>
      <c r="D154" s="537"/>
      <c r="E154" s="400">
        <f>SUM(F154,G154)</f>
        <v>0</v>
      </c>
      <c r="F154" s="400">
        <v>0</v>
      </c>
      <c r="G154" s="402">
        <v>0</v>
      </c>
      <c r="H154" s="406"/>
      <c r="I154" s="406"/>
      <c r="J154" s="406"/>
      <c r="K154" s="406"/>
      <c r="L154" s="406"/>
      <c r="M154" s="407"/>
      <c r="N154" s="408"/>
      <c r="O154" s="408"/>
      <c r="P154" s="408"/>
      <c r="Q154" s="408"/>
    </row>
    <row r="155" spans="1:17" ht="11.25">
      <c r="A155" s="523"/>
      <c r="B155" s="144" t="s">
        <v>135</v>
      </c>
      <c r="C155" s="535"/>
      <c r="D155" s="538"/>
      <c r="E155" s="400">
        <f>SUM(F155,G155)</f>
        <v>0</v>
      </c>
      <c r="F155" s="400">
        <v>0</v>
      </c>
      <c r="G155" s="402">
        <v>0</v>
      </c>
      <c r="H155" s="409"/>
      <c r="I155" s="409"/>
      <c r="J155" s="409"/>
      <c r="K155" s="409"/>
      <c r="L155" s="409"/>
      <c r="M155" s="410"/>
      <c r="N155" s="411"/>
      <c r="O155" s="411"/>
      <c r="P155" s="411"/>
      <c r="Q155" s="411"/>
    </row>
    <row r="156" spans="1:17" ht="12.75">
      <c r="A156" s="554" t="s">
        <v>148</v>
      </c>
      <c r="B156" s="146" t="s">
        <v>69</v>
      </c>
      <c r="C156" s="599" t="s">
        <v>154</v>
      </c>
      <c r="D156" s="600"/>
      <c r="E156" s="600"/>
      <c r="F156" s="600"/>
      <c r="G156" s="600"/>
      <c r="H156" s="600"/>
      <c r="I156" s="600"/>
      <c r="J156" s="600"/>
      <c r="K156" s="600"/>
      <c r="L156" s="600"/>
      <c r="M156" s="600"/>
      <c r="N156" s="600"/>
      <c r="O156" s="600"/>
      <c r="P156" s="600"/>
      <c r="Q156" s="600"/>
    </row>
    <row r="157" spans="1:17" ht="12.75">
      <c r="A157" s="522"/>
      <c r="B157" s="146" t="s">
        <v>70</v>
      </c>
      <c r="C157" s="527" t="s">
        <v>242</v>
      </c>
      <c r="D157" s="601"/>
      <c r="E157" s="601"/>
      <c r="F157" s="601"/>
      <c r="G157" s="601"/>
      <c r="H157" s="601"/>
      <c r="I157" s="601"/>
      <c r="J157" s="601"/>
      <c r="K157" s="601"/>
      <c r="L157" s="601"/>
      <c r="M157" s="601"/>
      <c r="N157" s="601"/>
      <c r="O157" s="601"/>
      <c r="P157" s="601"/>
      <c r="Q157" s="602"/>
    </row>
    <row r="158" spans="1:17" ht="12.75">
      <c r="A158" s="522"/>
      <c r="B158" s="146" t="s">
        <v>71</v>
      </c>
      <c r="C158" s="527" t="s">
        <v>7</v>
      </c>
      <c r="D158" s="601"/>
      <c r="E158" s="601"/>
      <c r="F158" s="601"/>
      <c r="G158" s="601"/>
      <c r="H158" s="601"/>
      <c r="I158" s="601"/>
      <c r="J158" s="601"/>
      <c r="K158" s="601"/>
      <c r="L158" s="601"/>
      <c r="M158" s="601"/>
      <c r="N158" s="601"/>
      <c r="O158" s="601"/>
      <c r="P158" s="601"/>
      <c r="Q158" s="602"/>
    </row>
    <row r="159" spans="1:17" ht="12.75">
      <c r="A159" s="522"/>
      <c r="B159" s="146" t="s">
        <v>72</v>
      </c>
      <c r="C159" s="530" t="s">
        <v>8</v>
      </c>
      <c r="D159" s="603"/>
      <c r="E159" s="603"/>
      <c r="F159" s="603"/>
      <c r="G159" s="603"/>
      <c r="H159" s="603"/>
      <c r="I159" s="603"/>
      <c r="J159" s="603"/>
      <c r="K159" s="603"/>
      <c r="L159" s="603"/>
      <c r="M159" s="603"/>
      <c r="N159" s="603"/>
      <c r="O159" s="603"/>
      <c r="P159" s="603"/>
      <c r="Q159" s="604"/>
    </row>
    <row r="160" spans="1:17" ht="11.25">
      <c r="A160" s="522"/>
      <c r="B160" s="146" t="s">
        <v>73</v>
      </c>
      <c r="C160" s="414"/>
      <c r="D160" s="413"/>
      <c r="E160" s="400">
        <f>SUM(E161:E164)</f>
        <v>308718</v>
      </c>
      <c r="F160" s="400">
        <f>SUM(F161:F164)</f>
        <v>46308</v>
      </c>
      <c r="G160" s="400">
        <f>SUM(G161:G163)</f>
        <v>262410</v>
      </c>
      <c r="H160" s="400">
        <f>SUM(I160,M160)</f>
        <v>308718</v>
      </c>
      <c r="I160" s="400">
        <f>J160+K160+L160</f>
        <v>46308</v>
      </c>
      <c r="J160" s="400">
        <v>0</v>
      </c>
      <c r="K160" s="400">
        <v>0</v>
      </c>
      <c r="L160" s="400">
        <v>46308</v>
      </c>
      <c r="M160" s="400">
        <f>N160+O160+P160+Q160</f>
        <v>262410</v>
      </c>
      <c r="N160" s="400">
        <v>0</v>
      </c>
      <c r="O160" s="400"/>
      <c r="P160" s="400">
        <v>0</v>
      </c>
      <c r="Q160" s="400">
        <v>262410</v>
      </c>
    </row>
    <row r="161" spans="1:17" ht="11.25">
      <c r="A161" s="522"/>
      <c r="B161" s="144" t="s">
        <v>256</v>
      </c>
      <c r="C161" s="533">
        <v>73</v>
      </c>
      <c r="D161" s="536" t="s">
        <v>245</v>
      </c>
      <c r="E161" s="400">
        <f>SUM(F161:G161)</f>
        <v>308718</v>
      </c>
      <c r="F161" s="400">
        <f>SUM(I160)</f>
        <v>46308</v>
      </c>
      <c r="G161" s="402">
        <f>SUM(M160)</f>
        <v>262410</v>
      </c>
      <c r="H161" s="403"/>
      <c r="I161" s="403"/>
      <c r="J161" s="403"/>
      <c r="K161" s="403"/>
      <c r="L161" s="403"/>
      <c r="M161" s="404"/>
      <c r="N161" s="405"/>
      <c r="O161" s="405"/>
      <c r="P161" s="408"/>
      <c r="Q161" s="408"/>
    </row>
    <row r="162" spans="1:17" ht="11.25">
      <c r="A162" s="522"/>
      <c r="B162" s="144" t="s">
        <v>287</v>
      </c>
      <c r="C162" s="534"/>
      <c r="D162" s="537"/>
      <c r="E162" s="400">
        <f>SUM(F162,G162)</f>
        <v>0</v>
      </c>
      <c r="F162" s="400">
        <v>0</v>
      </c>
      <c r="G162" s="402">
        <v>0</v>
      </c>
      <c r="H162" s="406"/>
      <c r="I162" s="406"/>
      <c r="J162" s="406"/>
      <c r="K162" s="406"/>
      <c r="L162" s="406"/>
      <c r="M162" s="407"/>
      <c r="N162" s="408"/>
      <c r="O162" s="408"/>
      <c r="P162" s="408"/>
      <c r="Q162" s="408"/>
    </row>
    <row r="163" spans="1:17" ht="11.25">
      <c r="A163" s="522"/>
      <c r="B163" s="144" t="s">
        <v>133</v>
      </c>
      <c r="C163" s="534"/>
      <c r="D163" s="537"/>
      <c r="E163" s="400">
        <f>SUM(F163,G163)</f>
        <v>0</v>
      </c>
      <c r="F163" s="400">
        <v>0</v>
      </c>
      <c r="G163" s="402">
        <v>0</v>
      </c>
      <c r="H163" s="406"/>
      <c r="I163" s="406"/>
      <c r="J163" s="406"/>
      <c r="K163" s="406"/>
      <c r="L163" s="406"/>
      <c r="M163" s="407"/>
      <c r="N163" s="408"/>
      <c r="O163" s="408"/>
      <c r="P163" s="408"/>
      <c r="Q163" s="408"/>
    </row>
    <row r="164" spans="1:17" ht="11.25">
      <c r="A164" s="522"/>
      <c r="B164" s="144" t="s">
        <v>134</v>
      </c>
      <c r="C164" s="534"/>
      <c r="D164" s="537"/>
      <c r="E164" s="400">
        <f>SUM(F164,G164)</f>
        <v>0</v>
      </c>
      <c r="F164" s="400">
        <v>0</v>
      </c>
      <c r="G164" s="402">
        <v>0</v>
      </c>
      <c r="H164" s="406"/>
      <c r="I164" s="406"/>
      <c r="J164" s="406"/>
      <c r="K164" s="406"/>
      <c r="L164" s="406"/>
      <c r="M164" s="407"/>
      <c r="N164" s="408"/>
      <c r="O164" s="408"/>
      <c r="P164" s="408"/>
      <c r="Q164" s="408"/>
    </row>
    <row r="165" spans="1:17" ht="11.25">
      <c r="A165" s="523"/>
      <c r="B165" s="144" t="s">
        <v>135</v>
      </c>
      <c r="C165" s="535"/>
      <c r="D165" s="538"/>
      <c r="E165" s="400">
        <f>SUM(F165,G165)</f>
        <v>0</v>
      </c>
      <c r="F165" s="400">
        <v>0</v>
      </c>
      <c r="G165" s="402">
        <v>0</v>
      </c>
      <c r="H165" s="409"/>
      <c r="I165" s="409"/>
      <c r="J165" s="409"/>
      <c r="K165" s="409"/>
      <c r="L165" s="409"/>
      <c r="M165" s="410"/>
      <c r="N165" s="411"/>
      <c r="O165" s="411"/>
      <c r="P165" s="411"/>
      <c r="Q165" s="411"/>
    </row>
    <row r="166" spans="1:17" ht="12.75">
      <c r="A166" s="554" t="s">
        <v>149</v>
      </c>
      <c r="B166" s="146" t="s">
        <v>69</v>
      </c>
      <c r="C166" s="599" t="s">
        <v>11</v>
      </c>
      <c r="D166" s="600"/>
      <c r="E166" s="600"/>
      <c r="F166" s="600"/>
      <c r="G166" s="600"/>
      <c r="H166" s="600"/>
      <c r="I166" s="600"/>
      <c r="J166" s="600"/>
      <c r="K166" s="600"/>
      <c r="L166" s="600"/>
      <c r="M166" s="600"/>
      <c r="N166" s="600"/>
      <c r="O166" s="600"/>
      <c r="P166" s="600"/>
      <c r="Q166" s="600"/>
    </row>
    <row r="167" spans="1:17" ht="12.75">
      <c r="A167" s="522"/>
      <c r="B167" s="146" t="s">
        <v>70</v>
      </c>
      <c r="C167" s="527" t="s">
        <v>242</v>
      </c>
      <c r="D167" s="601"/>
      <c r="E167" s="601"/>
      <c r="F167" s="601"/>
      <c r="G167" s="601"/>
      <c r="H167" s="601"/>
      <c r="I167" s="601"/>
      <c r="J167" s="601"/>
      <c r="K167" s="601"/>
      <c r="L167" s="601"/>
      <c r="M167" s="601"/>
      <c r="N167" s="601"/>
      <c r="O167" s="601"/>
      <c r="P167" s="601"/>
      <c r="Q167" s="602"/>
    </row>
    <row r="168" spans="1:17" ht="12.75">
      <c r="A168" s="522"/>
      <c r="B168" s="146" t="s">
        <v>71</v>
      </c>
      <c r="C168" s="527" t="s">
        <v>7</v>
      </c>
      <c r="D168" s="601"/>
      <c r="E168" s="601"/>
      <c r="F168" s="601"/>
      <c r="G168" s="601"/>
      <c r="H168" s="601"/>
      <c r="I168" s="601"/>
      <c r="J168" s="601"/>
      <c r="K168" s="601"/>
      <c r="L168" s="601"/>
      <c r="M168" s="601"/>
      <c r="N168" s="601"/>
      <c r="O168" s="601"/>
      <c r="P168" s="601"/>
      <c r="Q168" s="602"/>
    </row>
    <row r="169" spans="1:17" ht="12.75">
      <c r="A169" s="522"/>
      <c r="B169" s="146" t="s">
        <v>72</v>
      </c>
      <c r="C169" s="530" t="s">
        <v>17</v>
      </c>
      <c r="D169" s="603"/>
      <c r="E169" s="603"/>
      <c r="F169" s="603"/>
      <c r="G169" s="603"/>
      <c r="H169" s="603"/>
      <c r="I169" s="603"/>
      <c r="J169" s="603"/>
      <c r="K169" s="603"/>
      <c r="L169" s="603"/>
      <c r="M169" s="603"/>
      <c r="N169" s="603"/>
      <c r="O169" s="603"/>
      <c r="P169" s="603"/>
      <c r="Q169" s="604"/>
    </row>
    <row r="170" spans="1:17" ht="11.25">
      <c r="A170" s="522"/>
      <c r="B170" s="146" t="s">
        <v>73</v>
      </c>
      <c r="C170" s="414"/>
      <c r="D170" s="413"/>
      <c r="E170" s="400">
        <f>SUM(E171:E174)</f>
        <v>299978</v>
      </c>
      <c r="F170" s="400">
        <f>SUM(F171:F174)</f>
        <v>44995</v>
      </c>
      <c r="G170" s="400">
        <f>SUM(G171:G173)</f>
        <v>254983</v>
      </c>
      <c r="H170" s="400">
        <f>SUM(I170,M170)</f>
        <v>211018</v>
      </c>
      <c r="I170" s="400">
        <f>J170+K170+L170</f>
        <v>31652</v>
      </c>
      <c r="J170" s="400">
        <v>0</v>
      </c>
      <c r="K170" s="400">
        <v>0</v>
      </c>
      <c r="L170" s="400">
        <v>31652</v>
      </c>
      <c r="M170" s="400">
        <f>N170+O170+P170+Q170</f>
        <v>179366</v>
      </c>
      <c r="N170" s="400">
        <v>0</v>
      </c>
      <c r="O170" s="400"/>
      <c r="P170" s="400">
        <v>0</v>
      </c>
      <c r="Q170" s="400">
        <v>179366</v>
      </c>
    </row>
    <row r="171" spans="1:17" ht="10.5" customHeight="1">
      <c r="A171" s="522"/>
      <c r="B171" s="144" t="s">
        <v>256</v>
      </c>
      <c r="C171" s="493">
        <v>73</v>
      </c>
      <c r="D171" s="536"/>
      <c r="E171" s="400">
        <f>SUM(F171:G171)</f>
        <v>211018</v>
      </c>
      <c r="F171" s="400">
        <f>SUM(I170)</f>
        <v>31652</v>
      </c>
      <c r="G171" s="402">
        <f>SUM(M170)</f>
        <v>179366</v>
      </c>
      <c r="H171" s="403"/>
      <c r="I171" s="403"/>
      <c r="J171" s="403"/>
      <c r="K171" s="403"/>
      <c r="L171" s="403"/>
      <c r="M171" s="404"/>
      <c r="N171" s="405"/>
      <c r="O171" s="405"/>
      <c r="P171" s="408"/>
      <c r="Q171" s="408"/>
    </row>
    <row r="172" spans="1:17" ht="10.5" customHeight="1">
      <c r="A172" s="523"/>
      <c r="B172" s="144" t="s">
        <v>287</v>
      </c>
      <c r="C172" s="495"/>
      <c r="D172" s="538"/>
      <c r="E172" s="400">
        <f>SUM(F172,G172)</f>
        <v>88960</v>
      </c>
      <c r="F172" s="400">
        <v>13343</v>
      </c>
      <c r="G172" s="402">
        <v>75617</v>
      </c>
      <c r="H172" s="409"/>
      <c r="I172" s="409"/>
      <c r="J172" s="409"/>
      <c r="K172" s="409"/>
      <c r="L172" s="409"/>
      <c r="M172" s="410"/>
      <c r="N172" s="411"/>
      <c r="O172" s="411"/>
      <c r="P172" s="411"/>
      <c r="Q172" s="411"/>
    </row>
    <row r="173" spans="1:17" ht="33.75">
      <c r="A173" s="466" t="s">
        <v>149</v>
      </c>
      <c r="B173" s="144" t="s">
        <v>133</v>
      </c>
      <c r="C173" s="493">
        <v>73</v>
      </c>
      <c r="D173" s="507" t="s">
        <v>245</v>
      </c>
      <c r="E173" s="400">
        <f>SUM(F173,G173)</f>
        <v>0</v>
      </c>
      <c r="F173" s="400">
        <v>0</v>
      </c>
      <c r="G173" s="402">
        <v>0</v>
      </c>
      <c r="H173" s="403"/>
      <c r="I173" s="403"/>
      <c r="J173" s="403"/>
      <c r="K173" s="403"/>
      <c r="L173" s="403"/>
      <c r="M173" s="404"/>
      <c r="N173" s="405"/>
      <c r="O173" s="405"/>
      <c r="P173" s="405"/>
      <c r="Q173" s="405"/>
    </row>
    <row r="174" spans="1:17" ht="11.25">
      <c r="A174" s="467"/>
      <c r="B174" s="144" t="s">
        <v>134</v>
      </c>
      <c r="C174" s="494"/>
      <c r="D174" s="508"/>
      <c r="E174" s="400">
        <f>SUM(F174,G174)</f>
        <v>0</v>
      </c>
      <c r="F174" s="400">
        <v>0</v>
      </c>
      <c r="G174" s="402">
        <v>0</v>
      </c>
      <c r="H174" s="406"/>
      <c r="I174" s="406"/>
      <c r="J174" s="406"/>
      <c r="K174" s="406"/>
      <c r="L174" s="406"/>
      <c r="M174" s="407"/>
      <c r="N174" s="408"/>
      <c r="O174" s="408"/>
      <c r="P174" s="408"/>
      <c r="Q174" s="408"/>
    </row>
    <row r="175" spans="1:17" ht="11.25">
      <c r="A175" s="467"/>
      <c r="B175" s="144" t="s">
        <v>135</v>
      </c>
      <c r="C175" s="495"/>
      <c r="D175" s="509"/>
      <c r="E175" s="400">
        <f>SUM(F175,G175)</f>
        <v>0</v>
      </c>
      <c r="F175" s="400">
        <v>0</v>
      </c>
      <c r="G175" s="402">
        <v>0</v>
      </c>
      <c r="H175" s="409"/>
      <c r="I175" s="409"/>
      <c r="J175" s="409"/>
      <c r="K175" s="409"/>
      <c r="L175" s="409"/>
      <c r="M175" s="410"/>
      <c r="N175" s="411"/>
      <c r="O175" s="411"/>
      <c r="P175" s="411"/>
      <c r="Q175" s="411"/>
    </row>
    <row r="176" spans="1:17" ht="12.75">
      <c r="A176" s="554" t="s">
        <v>91</v>
      </c>
      <c r="B176" s="144" t="s">
        <v>69</v>
      </c>
      <c r="C176" s="599" t="s">
        <v>11</v>
      </c>
      <c r="D176" s="600"/>
      <c r="E176" s="600"/>
      <c r="F176" s="600"/>
      <c r="G176" s="600"/>
      <c r="H176" s="600"/>
      <c r="I176" s="600"/>
      <c r="J176" s="600"/>
      <c r="K176" s="600"/>
      <c r="L176" s="600"/>
      <c r="M176" s="600"/>
      <c r="N176" s="600"/>
      <c r="O176" s="600"/>
      <c r="P176" s="600"/>
      <c r="Q176" s="600"/>
    </row>
    <row r="177" spans="1:17" ht="12.75">
      <c r="A177" s="522"/>
      <c r="B177" s="144" t="s">
        <v>70</v>
      </c>
      <c r="C177" s="527" t="s">
        <v>242</v>
      </c>
      <c r="D177" s="601"/>
      <c r="E177" s="601"/>
      <c r="F177" s="601"/>
      <c r="G177" s="601"/>
      <c r="H177" s="601"/>
      <c r="I177" s="601"/>
      <c r="J177" s="601"/>
      <c r="K177" s="601"/>
      <c r="L177" s="601"/>
      <c r="M177" s="601"/>
      <c r="N177" s="601"/>
      <c r="O177" s="601"/>
      <c r="P177" s="601"/>
      <c r="Q177" s="602"/>
    </row>
    <row r="178" spans="1:17" ht="12.75">
      <c r="A178" s="522"/>
      <c r="B178" s="144" t="s">
        <v>71</v>
      </c>
      <c r="C178" s="527" t="s">
        <v>7</v>
      </c>
      <c r="D178" s="601"/>
      <c r="E178" s="601"/>
      <c r="F178" s="601"/>
      <c r="G178" s="601"/>
      <c r="H178" s="601"/>
      <c r="I178" s="601"/>
      <c r="J178" s="601"/>
      <c r="K178" s="601"/>
      <c r="L178" s="601"/>
      <c r="M178" s="601"/>
      <c r="N178" s="601"/>
      <c r="O178" s="601"/>
      <c r="P178" s="601"/>
      <c r="Q178" s="602"/>
    </row>
    <row r="179" spans="1:17" ht="12.75">
      <c r="A179" s="522"/>
      <c r="B179" s="144" t="s">
        <v>72</v>
      </c>
      <c r="C179" s="530" t="s">
        <v>18</v>
      </c>
      <c r="D179" s="603"/>
      <c r="E179" s="603"/>
      <c r="F179" s="603"/>
      <c r="G179" s="603"/>
      <c r="H179" s="603"/>
      <c r="I179" s="603"/>
      <c r="J179" s="603"/>
      <c r="K179" s="603"/>
      <c r="L179" s="603"/>
      <c r="M179" s="603"/>
      <c r="N179" s="603"/>
      <c r="O179" s="603"/>
      <c r="P179" s="603"/>
      <c r="Q179" s="604"/>
    </row>
    <row r="180" spans="1:17" ht="11.25">
      <c r="A180" s="522"/>
      <c r="B180" s="144" t="s">
        <v>73</v>
      </c>
      <c r="C180" s="415"/>
      <c r="D180" s="507"/>
      <c r="E180" s="400">
        <f>SUM(E181:E184)</f>
        <v>197491</v>
      </c>
      <c r="F180" s="400">
        <f>SUM(F181:F184)</f>
        <v>29618</v>
      </c>
      <c r="G180" s="400">
        <f>SUM(G181:G183)</f>
        <v>167873</v>
      </c>
      <c r="H180" s="400">
        <f>SUM(I180,M180)</f>
        <v>197491</v>
      </c>
      <c r="I180" s="400">
        <f>J180+K180+L180</f>
        <v>29618</v>
      </c>
      <c r="J180" s="400">
        <v>0</v>
      </c>
      <c r="K180" s="400">
        <v>0</v>
      </c>
      <c r="L180" s="400">
        <v>29618</v>
      </c>
      <c r="M180" s="400">
        <f>N180+O180+P180+Q180</f>
        <v>167873</v>
      </c>
      <c r="N180" s="400">
        <v>0</v>
      </c>
      <c r="O180" s="400"/>
      <c r="P180" s="400">
        <v>0</v>
      </c>
      <c r="Q180" s="400">
        <v>167873</v>
      </c>
    </row>
    <row r="181" spans="1:17" ht="12.75" customHeight="1">
      <c r="A181" s="522"/>
      <c r="B181" s="510" t="s">
        <v>256</v>
      </c>
      <c r="C181" s="511">
        <v>71</v>
      </c>
      <c r="D181" s="536" t="s">
        <v>245</v>
      </c>
      <c r="E181" s="514">
        <f>SUM(F181:G181)</f>
        <v>197491</v>
      </c>
      <c r="F181" s="400">
        <f>SUM(I180)</f>
        <v>29618</v>
      </c>
      <c r="G181" s="402">
        <f>SUM(M180)</f>
        <v>167873</v>
      </c>
      <c r="H181" s="441"/>
      <c r="I181" s="441"/>
      <c r="J181" s="441"/>
      <c r="K181" s="441"/>
      <c r="L181" s="441"/>
      <c r="M181" s="442"/>
      <c r="N181" s="443"/>
      <c r="O181" s="443"/>
      <c r="P181" s="411"/>
      <c r="Q181" s="411"/>
    </row>
    <row r="182" spans="1:17" ht="13.5" customHeight="1">
      <c r="A182" s="522"/>
      <c r="B182" s="510" t="s">
        <v>287</v>
      </c>
      <c r="C182" s="512"/>
      <c r="D182" s="537"/>
      <c r="E182" s="514">
        <f>SUM(F182,G182)</f>
        <v>0</v>
      </c>
      <c r="F182" s="400">
        <v>0</v>
      </c>
      <c r="G182" s="402">
        <v>0</v>
      </c>
      <c r="H182" s="403"/>
      <c r="I182" s="403"/>
      <c r="J182" s="403"/>
      <c r="K182" s="403"/>
      <c r="L182" s="403"/>
      <c r="M182" s="404"/>
      <c r="N182" s="405"/>
      <c r="O182" s="405"/>
      <c r="P182" s="405"/>
      <c r="Q182" s="405"/>
    </row>
    <row r="183" spans="1:17" ht="11.25">
      <c r="A183" s="522"/>
      <c r="B183" s="510" t="s">
        <v>133</v>
      </c>
      <c r="C183" s="512"/>
      <c r="D183" s="537"/>
      <c r="E183" s="514">
        <f>SUM(F183,G183)</f>
        <v>0</v>
      </c>
      <c r="F183" s="400">
        <v>0</v>
      </c>
      <c r="G183" s="402">
        <v>0</v>
      </c>
      <c r="H183" s="406"/>
      <c r="I183" s="406"/>
      <c r="J183" s="406"/>
      <c r="K183" s="406"/>
      <c r="L183" s="406"/>
      <c r="M183" s="407"/>
      <c r="N183" s="408"/>
      <c r="O183" s="408"/>
      <c r="P183" s="408"/>
      <c r="Q183" s="408"/>
    </row>
    <row r="184" spans="1:17" ht="11.25">
      <c r="A184" s="522"/>
      <c r="B184" s="510" t="s">
        <v>134</v>
      </c>
      <c r="C184" s="512"/>
      <c r="D184" s="537"/>
      <c r="E184" s="514">
        <f>SUM(F184,G184)</f>
        <v>0</v>
      </c>
      <c r="F184" s="400">
        <v>0</v>
      </c>
      <c r="G184" s="402">
        <v>0</v>
      </c>
      <c r="H184" s="406"/>
      <c r="I184" s="406"/>
      <c r="J184" s="406"/>
      <c r="K184" s="406"/>
      <c r="L184" s="406"/>
      <c r="M184" s="407"/>
      <c r="N184" s="408"/>
      <c r="O184" s="408"/>
      <c r="P184" s="408"/>
      <c r="Q184" s="408"/>
    </row>
    <row r="185" spans="1:17" ht="11.25">
      <c r="A185" s="523"/>
      <c r="B185" s="510" t="s">
        <v>135</v>
      </c>
      <c r="C185" s="513"/>
      <c r="D185" s="538"/>
      <c r="E185" s="514">
        <f>SUM(F185,G185)</f>
        <v>0</v>
      </c>
      <c r="F185" s="400">
        <v>0</v>
      </c>
      <c r="G185" s="402">
        <v>0</v>
      </c>
      <c r="H185" s="409"/>
      <c r="I185" s="409"/>
      <c r="J185" s="409"/>
      <c r="K185" s="409"/>
      <c r="L185" s="409"/>
      <c r="M185" s="410"/>
      <c r="N185" s="411"/>
      <c r="O185" s="411"/>
      <c r="P185" s="411"/>
      <c r="Q185" s="411"/>
    </row>
    <row r="186" spans="1:17" ht="12.75">
      <c r="A186" s="522" t="s">
        <v>346</v>
      </c>
      <c r="B186" s="146" t="s">
        <v>69</v>
      </c>
      <c r="C186" s="524" t="s">
        <v>11</v>
      </c>
      <c r="D186" s="525"/>
      <c r="E186" s="526"/>
      <c r="F186" s="526"/>
      <c r="G186" s="526"/>
      <c r="H186" s="526"/>
      <c r="I186" s="526"/>
      <c r="J186" s="526"/>
      <c r="K186" s="526"/>
      <c r="L186" s="526"/>
      <c r="M186" s="526"/>
      <c r="N186" s="526"/>
      <c r="O186" s="526"/>
      <c r="P186" s="526"/>
      <c r="Q186" s="526"/>
    </row>
    <row r="187" spans="1:17" ht="12.75">
      <c r="A187" s="522"/>
      <c r="B187" s="146" t="s">
        <v>70</v>
      </c>
      <c r="C187" s="527" t="s">
        <v>242</v>
      </c>
      <c r="D187" s="528"/>
      <c r="E187" s="528"/>
      <c r="F187" s="528"/>
      <c r="G187" s="528"/>
      <c r="H187" s="528"/>
      <c r="I187" s="528"/>
      <c r="J187" s="528"/>
      <c r="K187" s="528"/>
      <c r="L187" s="528"/>
      <c r="M187" s="528"/>
      <c r="N187" s="528"/>
      <c r="O187" s="528"/>
      <c r="P187" s="528"/>
      <c r="Q187" s="529"/>
    </row>
    <row r="188" spans="1:17" ht="12.75">
      <c r="A188" s="522"/>
      <c r="B188" s="146" t="s">
        <v>71</v>
      </c>
      <c r="C188" s="527" t="s">
        <v>7</v>
      </c>
      <c r="D188" s="528"/>
      <c r="E188" s="528"/>
      <c r="F188" s="528"/>
      <c r="G188" s="528"/>
      <c r="H188" s="528"/>
      <c r="I188" s="528"/>
      <c r="J188" s="528"/>
      <c r="K188" s="528"/>
      <c r="L188" s="528"/>
      <c r="M188" s="528"/>
      <c r="N188" s="528"/>
      <c r="O188" s="528"/>
      <c r="P188" s="528"/>
      <c r="Q188" s="529"/>
    </row>
    <row r="189" spans="1:17" ht="12.75">
      <c r="A189" s="522"/>
      <c r="B189" s="146" t="s">
        <v>72</v>
      </c>
      <c r="C189" s="530" t="s">
        <v>92</v>
      </c>
      <c r="D189" s="531"/>
      <c r="E189" s="531"/>
      <c r="F189" s="531"/>
      <c r="G189" s="531"/>
      <c r="H189" s="531"/>
      <c r="I189" s="531"/>
      <c r="J189" s="531"/>
      <c r="K189" s="531"/>
      <c r="L189" s="531"/>
      <c r="M189" s="531"/>
      <c r="N189" s="531"/>
      <c r="O189" s="531"/>
      <c r="P189" s="531"/>
      <c r="Q189" s="532"/>
    </row>
    <row r="190" spans="1:17" ht="11.25">
      <c r="A190" s="522"/>
      <c r="B190" s="146" t="s">
        <v>73</v>
      </c>
      <c r="C190" s="412"/>
      <c r="D190" s="413"/>
      <c r="E190" s="400">
        <f>SUM(E191:E194)</f>
        <v>165719</v>
      </c>
      <c r="F190" s="400">
        <f>SUM(F191:F194)</f>
        <v>24858</v>
      </c>
      <c r="G190" s="400">
        <f>SUM(G191:G193)</f>
        <v>140861</v>
      </c>
      <c r="H190" s="400">
        <f>SUM(I190,M190)</f>
        <v>118759</v>
      </c>
      <c r="I190" s="400">
        <f>J190+K190+L190</f>
        <v>17814</v>
      </c>
      <c r="J190" s="400">
        <v>0</v>
      </c>
      <c r="K190" s="400">
        <v>0</v>
      </c>
      <c r="L190" s="400">
        <v>17814</v>
      </c>
      <c r="M190" s="400">
        <f>N190+O190+P190+Q190</f>
        <v>100945</v>
      </c>
      <c r="N190" s="400">
        <v>0</v>
      </c>
      <c r="O190" s="400"/>
      <c r="P190" s="400">
        <v>0</v>
      </c>
      <c r="Q190" s="400">
        <v>100945</v>
      </c>
    </row>
    <row r="191" spans="1:17" ht="11.25">
      <c r="A191" s="522"/>
      <c r="B191" s="144" t="s">
        <v>256</v>
      </c>
      <c r="C191" s="533">
        <v>71</v>
      </c>
      <c r="D191" s="536" t="s">
        <v>245</v>
      </c>
      <c r="E191" s="400">
        <f>SUM(F191:G191)</f>
        <v>118759</v>
      </c>
      <c r="F191" s="400">
        <f>SUM(I190)</f>
        <v>17814</v>
      </c>
      <c r="G191" s="402">
        <f>SUM(M190)</f>
        <v>100945</v>
      </c>
      <c r="H191" s="403"/>
      <c r="I191" s="403"/>
      <c r="J191" s="403"/>
      <c r="K191" s="403"/>
      <c r="L191" s="403"/>
      <c r="M191" s="404"/>
      <c r="N191" s="405"/>
      <c r="O191" s="405"/>
      <c r="P191" s="408"/>
      <c r="Q191" s="408"/>
    </row>
    <row r="192" spans="1:17" ht="11.25">
      <c r="A192" s="522"/>
      <c r="B192" s="144" t="s">
        <v>287</v>
      </c>
      <c r="C192" s="534"/>
      <c r="D192" s="537"/>
      <c r="E192" s="400">
        <f>SUM(F192,G192)</f>
        <v>46960</v>
      </c>
      <c r="F192" s="400">
        <v>7044</v>
      </c>
      <c r="G192" s="402">
        <v>39916</v>
      </c>
      <c r="H192" s="406"/>
      <c r="I192" s="406"/>
      <c r="J192" s="406"/>
      <c r="K192" s="406"/>
      <c r="L192" s="406"/>
      <c r="M192" s="407"/>
      <c r="N192" s="408"/>
      <c r="O192" s="408"/>
      <c r="P192" s="408"/>
      <c r="Q192" s="408"/>
    </row>
    <row r="193" spans="1:17" ht="11.25">
      <c r="A193" s="522"/>
      <c r="B193" s="144" t="s">
        <v>133</v>
      </c>
      <c r="C193" s="534"/>
      <c r="D193" s="537"/>
      <c r="E193" s="400">
        <f>SUM(F193,G193)</f>
        <v>0</v>
      </c>
      <c r="F193" s="400">
        <v>0</v>
      </c>
      <c r="G193" s="402">
        <v>0</v>
      </c>
      <c r="H193" s="406"/>
      <c r="I193" s="406"/>
      <c r="J193" s="406"/>
      <c r="K193" s="406"/>
      <c r="L193" s="406"/>
      <c r="M193" s="407"/>
      <c r="N193" s="408"/>
      <c r="O193" s="408"/>
      <c r="P193" s="408"/>
      <c r="Q193" s="408"/>
    </row>
    <row r="194" spans="1:17" ht="11.25">
      <c r="A194" s="522"/>
      <c r="B194" s="144" t="s">
        <v>134</v>
      </c>
      <c r="C194" s="534"/>
      <c r="D194" s="537"/>
      <c r="E194" s="400">
        <f>SUM(F194,G194)</f>
        <v>0</v>
      </c>
      <c r="F194" s="400">
        <v>0</v>
      </c>
      <c r="G194" s="402">
        <v>0</v>
      </c>
      <c r="H194" s="406"/>
      <c r="I194" s="406"/>
      <c r="J194" s="406"/>
      <c r="K194" s="406"/>
      <c r="L194" s="406"/>
      <c r="M194" s="407"/>
      <c r="N194" s="408"/>
      <c r="O194" s="408"/>
      <c r="P194" s="408"/>
      <c r="Q194" s="408"/>
    </row>
    <row r="195" spans="1:17" ht="11.25">
      <c r="A195" s="523"/>
      <c r="B195" s="144" t="s">
        <v>135</v>
      </c>
      <c r="C195" s="535"/>
      <c r="D195" s="538"/>
      <c r="E195" s="400">
        <f>SUM(F195,G195)</f>
        <v>0</v>
      </c>
      <c r="F195" s="400">
        <v>0</v>
      </c>
      <c r="G195" s="402">
        <v>0</v>
      </c>
      <c r="H195" s="409"/>
      <c r="I195" s="409"/>
      <c r="J195" s="409"/>
      <c r="K195" s="409"/>
      <c r="L195" s="409"/>
      <c r="M195" s="410"/>
      <c r="N195" s="411"/>
      <c r="O195" s="411"/>
      <c r="P195" s="411"/>
      <c r="Q195" s="411"/>
    </row>
    <row r="196" spans="1:17" s="98" customFormat="1" ht="12.75">
      <c r="A196" s="522" t="s">
        <v>307</v>
      </c>
      <c r="B196" s="146" t="s">
        <v>69</v>
      </c>
      <c r="C196" s="524" t="s">
        <v>11</v>
      </c>
      <c r="D196" s="525"/>
      <c r="E196" s="526"/>
      <c r="F196" s="526"/>
      <c r="G196" s="526"/>
      <c r="H196" s="526"/>
      <c r="I196" s="526"/>
      <c r="J196" s="526"/>
      <c r="K196" s="526"/>
      <c r="L196" s="526"/>
      <c r="M196" s="526"/>
      <c r="N196" s="526"/>
      <c r="O196" s="526"/>
      <c r="P196" s="526"/>
      <c r="Q196" s="526"/>
    </row>
    <row r="197" spans="1:17" s="98" customFormat="1" ht="12.75">
      <c r="A197" s="522"/>
      <c r="B197" s="146" t="s">
        <v>70</v>
      </c>
      <c r="C197" s="527" t="s">
        <v>242</v>
      </c>
      <c r="D197" s="528"/>
      <c r="E197" s="528"/>
      <c r="F197" s="528"/>
      <c r="G197" s="528"/>
      <c r="H197" s="528"/>
      <c r="I197" s="528"/>
      <c r="J197" s="528"/>
      <c r="K197" s="528"/>
      <c r="L197" s="528"/>
      <c r="M197" s="528"/>
      <c r="N197" s="528"/>
      <c r="O197" s="528"/>
      <c r="P197" s="528"/>
      <c r="Q197" s="529"/>
    </row>
    <row r="198" spans="1:17" s="98" customFormat="1" ht="12.75">
      <c r="A198" s="522"/>
      <c r="B198" s="146" t="s">
        <v>71</v>
      </c>
      <c r="C198" s="527" t="s">
        <v>7</v>
      </c>
      <c r="D198" s="528"/>
      <c r="E198" s="528"/>
      <c r="F198" s="528"/>
      <c r="G198" s="528"/>
      <c r="H198" s="528"/>
      <c r="I198" s="528"/>
      <c r="J198" s="528"/>
      <c r="K198" s="528"/>
      <c r="L198" s="528"/>
      <c r="M198" s="528"/>
      <c r="N198" s="528"/>
      <c r="O198" s="528"/>
      <c r="P198" s="528"/>
      <c r="Q198" s="529"/>
    </row>
    <row r="199" spans="1:17" s="98" customFormat="1" ht="12.75">
      <c r="A199" s="522"/>
      <c r="B199" s="146" t="s">
        <v>72</v>
      </c>
      <c r="C199" s="530" t="s">
        <v>120</v>
      </c>
      <c r="D199" s="531"/>
      <c r="E199" s="531"/>
      <c r="F199" s="531"/>
      <c r="G199" s="531"/>
      <c r="H199" s="531"/>
      <c r="I199" s="531"/>
      <c r="J199" s="531"/>
      <c r="K199" s="531"/>
      <c r="L199" s="531"/>
      <c r="M199" s="531"/>
      <c r="N199" s="531"/>
      <c r="O199" s="531"/>
      <c r="P199" s="531"/>
      <c r="Q199" s="532"/>
    </row>
    <row r="200" spans="1:17" s="98" customFormat="1" ht="11.25">
      <c r="A200" s="522"/>
      <c r="B200" s="146" t="s">
        <v>73</v>
      </c>
      <c r="C200" s="412"/>
      <c r="D200" s="413"/>
      <c r="E200" s="400">
        <f>SUM(E201:E204)</f>
        <v>24875</v>
      </c>
      <c r="F200" s="400">
        <f>SUM(F201:F204)</f>
        <v>24875</v>
      </c>
      <c r="G200" s="400">
        <v>0</v>
      </c>
      <c r="H200" s="400">
        <f>SUM(I200,M200)</f>
        <v>24875</v>
      </c>
      <c r="I200" s="400">
        <v>24875</v>
      </c>
      <c r="J200" s="400">
        <v>0</v>
      </c>
      <c r="K200" s="400">
        <v>0</v>
      </c>
      <c r="L200" s="400">
        <v>24875</v>
      </c>
      <c r="M200" s="400"/>
      <c r="N200" s="400">
        <v>0</v>
      </c>
      <c r="O200" s="400"/>
      <c r="P200" s="400">
        <v>0</v>
      </c>
      <c r="Q200" s="400"/>
    </row>
    <row r="201" spans="1:17" s="98" customFormat="1" ht="11.25">
      <c r="A201" s="522"/>
      <c r="B201" s="144" t="s">
        <v>256</v>
      </c>
      <c r="C201" s="533">
        <v>71</v>
      </c>
      <c r="D201" s="536" t="s">
        <v>245</v>
      </c>
      <c r="E201" s="400">
        <v>24875</v>
      </c>
      <c r="F201" s="400">
        <v>24875</v>
      </c>
      <c r="G201" s="402">
        <v>0</v>
      </c>
      <c r="H201" s="403"/>
      <c r="I201" s="403"/>
      <c r="J201" s="403"/>
      <c r="K201" s="403"/>
      <c r="L201" s="403"/>
      <c r="M201" s="404"/>
      <c r="N201" s="405"/>
      <c r="O201" s="405"/>
      <c r="P201" s="408"/>
      <c r="Q201" s="408"/>
    </row>
    <row r="202" spans="1:17" s="98" customFormat="1" ht="11.25">
      <c r="A202" s="522"/>
      <c r="B202" s="144" t="s">
        <v>287</v>
      </c>
      <c r="C202" s="534"/>
      <c r="D202" s="537"/>
      <c r="E202" s="400"/>
      <c r="F202" s="400"/>
      <c r="G202" s="402"/>
      <c r="H202" s="406"/>
      <c r="I202" s="406"/>
      <c r="J202" s="406"/>
      <c r="K202" s="406"/>
      <c r="L202" s="406"/>
      <c r="M202" s="407"/>
      <c r="N202" s="408"/>
      <c r="O202" s="408"/>
      <c r="P202" s="408"/>
      <c r="Q202" s="408"/>
    </row>
    <row r="203" spans="1:17" s="98" customFormat="1" ht="11.25">
      <c r="A203" s="522"/>
      <c r="B203" s="144" t="s">
        <v>133</v>
      </c>
      <c r="C203" s="534"/>
      <c r="D203" s="537"/>
      <c r="E203" s="400"/>
      <c r="F203" s="400"/>
      <c r="G203" s="402"/>
      <c r="H203" s="406"/>
      <c r="I203" s="406"/>
      <c r="J203" s="406"/>
      <c r="K203" s="406"/>
      <c r="L203" s="406"/>
      <c r="M203" s="407"/>
      <c r="N203" s="408"/>
      <c r="O203" s="408"/>
      <c r="P203" s="408"/>
      <c r="Q203" s="408"/>
    </row>
    <row r="204" spans="1:17" s="98" customFormat="1" ht="11.25">
      <c r="A204" s="522"/>
      <c r="B204" s="144" t="s">
        <v>134</v>
      </c>
      <c r="C204" s="534"/>
      <c r="D204" s="537"/>
      <c r="E204" s="400"/>
      <c r="F204" s="400"/>
      <c r="G204" s="402"/>
      <c r="H204" s="406"/>
      <c r="I204" s="406"/>
      <c r="J204" s="406"/>
      <c r="K204" s="406"/>
      <c r="L204" s="406"/>
      <c r="M204" s="407"/>
      <c r="N204" s="408"/>
      <c r="O204" s="408"/>
      <c r="P204" s="408"/>
      <c r="Q204" s="408"/>
    </row>
    <row r="205" spans="1:17" s="98" customFormat="1" ht="11.25">
      <c r="A205" s="523"/>
      <c r="B205" s="144" t="s">
        <v>135</v>
      </c>
      <c r="C205" s="535"/>
      <c r="D205" s="538"/>
      <c r="E205" s="400"/>
      <c r="F205" s="400"/>
      <c r="G205" s="402"/>
      <c r="H205" s="409"/>
      <c r="I205" s="409"/>
      <c r="J205" s="409"/>
      <c r="K205" s="409"/>
      <c r="L205" s="409"/>
      <c r="M205" s="410"/>
      <c r="N205" s="411"/>
      <c r="O205" s="411"/>
      <c r="P205" s="411"/>
      <c r="Q205" s="411"/>
    </row>
    <row r="206" spans="1:17" s="98" customFormat="1" ht="12.75">
      <c r="A206" s="554" t="s">
        <v>308</v>
      </c>
      <c r="B206" s="146" t="s">
        <v>69</v>
      </c>
      <c r="C206" s="599" t="s">
        <v>11</v>
      </c>
      <c r="D206" s="526"/>
      <c r="E206" s="526"/>
      <c r="F206" s="526"/>
      <c r="G206" s="526"/>
      <c r="H206" s="526"/>
      <c r="I206" s="526"/>
      <c r="J206" s="526"/>
      <c r="K206" s="526"/>
      <c r="L206" s="526"/>
      <c r="M206" s="526"/>
      <c r="N206" s="526"/>
      <c r="O206" s="526"/>
      <c r="P206" s="526"/>
      <c r="Q206" s="526"/>
    </row>
    <row r="207" spans="1:17" s="98" customFormat="1" ht="12.75">
      <c r="A207" s="523"/>
      <c r="B207" s="146" t="s">
        <v>70</v>
      </c>
      <c r="C207" s="530" t="s">
        <v>242</v>
      </c>
      <c r="D207" s="531"/>
      <c r="E207" s="531"/>
      <c r="F207" s="531"/>
      <c r="G207" s="531"/>
      <c r="H207" s="531"/>
      <c r="I207" s="531"/>
      <c r="J207" s="531"/>
      <c r="K207" s="531"/>
      <c r="L207" s="531"/>
      <c r="M207" s="531"/>
      <c r="N207" s="531"/>
      <c r="O207" s="531"/>
      <c r="P207" s="531"/>
      <c r="Q207" s="532"/>
    </row>
    <row r="208" spans="1:17" s="98" customFormat="1" ht="12.75">
      <c r="A208" s="522" t="s">
        <v>308</v>
      </c>
      <c r="B208" s="146" t="s">
        <v>71</v>
      </c>
      <c r="C208" s="530" t="s">
        <v>7</v>
      </c>
      <c r="D208" s="531"/>
      <c r="E208" s="531"/>
      <c r="F208" s="531"/>
      <c r="G208" s="531"/>
      <c r="H208" s="531"/>
      <c r="I208" s="531"/>
      <c r="J208" s="531"/>
      <c r="K208" s="531"/>
      <c r="L208" s="531"/>
      <c r="M208" s="531"/>
      <c r="N208" s="531"/>
      <c r="O208" s="531"/>
      <c r="P208" s="531"/>
      <c r="Q208" s="532"/>
    </row>
    <row r="209" spans="1:17" s="98" customFormat="1" ht="12.75">
      <c r="A209" s="522"/>
      <c r="B209" s="146" t="s">
        <v>72</v>
      </c>
      <c r="C209" s="530" t="s">
        <v>121</v>
      </c>
      <c r="D209" s="531"/>
      <c r="E209" s="531"/>
      <c r="F209" s="531"/>
      <c r="G209" s="531"/>
      <c r="H209" s="531"/>
      <c r="I209" s="531"/>
      <c r="J209" s="531"/>
      <c r="K209" s="531"/>
      <c r="L209" s="531"/>
      <c r="M209" s="531"/>
      <c r="N209" s="531"/>
      <c r="O209" s="531"/>
      <c r="P209" s="531"/>
      <c r="Q209" s="532"/>
    </row>
    <row r="210" spans="1:17" s="98" customFormat="1" ht="11.25">
      <c r="A210" s="522"/>
      <c r="B210" s="146" t="s">
        <v>73</v>
      </c>
      <c r="C210" s="412"/>
      <c r="D210" s="413"/>
      <c r="E210" s="400">
        <f>SUM(E211:E214)</f>
        <v>13313</v>
      </c>
      <c r="F210" s="400">
        <f>SUM(F211:F214)</f>
        <v>13313</v>
      </c>
      <c r="G210" s="400"/>
      <c r="H210" s="400">
        <f>SUM(I210,M210)</f>
        <v>13313</v>
      </c>
      <c r="I210" s="400">
        <v>13313</v>
      </c>
      <c r="J210" s="400">
        <v>0</v>
      </c>
      <c r="K210" s="400">
        <v>0</v>
      </c>
      <c r="L210" s="400">
        <v>13313</v>
      </c>
      <c r="M210" s="400"/>
      <c r="N210" s="400">
        <v>0</v>
      </c>
      <c r="O210" s="400"/>
      <c r="P210" s="400">
        <v>0</v>
      </c>
      <c r="Q210" s="400"/>
    </row>
    <row r="211" spans="1:17" s="98" customFormat="1" ht="11.25">
      <c r="A211" s="522"/>
      <c r="B211" s="144" t="s">
        <v>256</v>
      </c>
      <c r="C211" s="533">
        <v>71</v>
      </c>
      <c r="D211" s="536" t="s">
        <v>245</v>
      </c>
      <c r="E211" s="400">
        <v>13313</v>
      </c>
      <c r="F211" s="400">
        <v>13313</v>
      </c>
      <c r="G211" s="402"/>
      <c r="H211" s="403"/>
      <c r="I211" s="403"/>
      <c r="J211" s="403"/>
      <c r="K211" s="403"/>
      <c r="L211" s="403"/>
      <c r="M211" s="404"/>
      <c r="N211" s="405"/>
      <c r="O211" s="405"/>
      <c r="P211" s="408"/>
      <c r="Q211" s="408"/>
    </row>
    <row r="212" spans="1:17" s="98" customFormat="1" ht="11.25">
      <c r="A212" s="522"/>
      <c r="B212" s="144" t="s">
        <v>287</v>
      </c>
      <c r="C212" s="534"/>
      <c r="D212" s="537"/>
      <c r="E212" s="400"/>
      <c r="F212" s="400"/>
      <c r="G212" s="402"/>
      <c r="H212" s="406"/>
      <c r="I212" s="406"/>
      <c r="J212" s="406"/>
      <c r="K212" s="406"/>
      <c r="L212" s="406"/>
      <c r="M212" s="407"/>
      <c r="N212" s="408"/>
      <c r="O212" s="408"/>
      <c r="P212" s="408"/>
      <c r="Q212" s="408"/>
    </row>
    <row r="213" spans="1:17" s="98" customFormat="1" ht="11.25">
      <c r="A213" s="522"/>
      <c r="B213" s="144" t="s">
        <v>133</v>
      </c>
      <c r="C213" s="534"/>
      <c r="D213" s="537"/>
      <c r="E213" s="400"/>
      <c r="F213" s="400"/>
      <c r="G213" s="402"/>
      <c r="H213" s="406"/>
      <c r="I213" s="406"/>
      <c r="J213" s="406"/>
      <c r="K213" s="406"/>
      <c r="L213" s="406"/>
      <c r="M213" s="407"/>
      <c r="N213" s="408"/>
      <c r="O213" s="408"/>
      <c r="P213" s="408"/>
      <c r="Q213" s="408"/>
    </row>
    <row r="214" spans="1:17" s="98" customFormat="1" ht="11.25">
      <c r="A214" s="522"/>
      <c r="B214" s="144" t="s">
        <v>134</v>
      </c>
      <c r="C214" s="534"/>
      <c r="D214" s="537"/>
      <c r="E214" s="400"/>
      <c r="F214" s="400"/>
      <c r="G214" s="402"/>
      <c r="H214" s="406"/>
      <c r="I214" s="406"/>
      <c r="J214" s="406"/>
      <c r="K214" s="406"/>
      <c r="L214" s="406"/>
      <c r="M214" s="407"/>
      <c r="N214" s="408"/>
      <c r="O214" s="408"/>
      <c r="P214" s="408"/>
      <c r="Q214" s="408"/>
    </row>
    <row r="215" spans="1:17" s="98" customFormat="1" ht="11.25">
      <c r="A215" s="523"/>
      <c r="B215" s="144" t="s">
        <v>135</v>
      </c>
      <c r="C215" s="535"/>
      <c r="D215" s="538"/>
      <c r="E215" s="400"/>
      <c r="F215" s="400"/>
      <c r="G215" s="402"/>
      <c r="H215" s="409"/>
      <c r="I215" s="409"/>
      <c r="J215" s="409"/>
      <c r="K215" s="409"/>
      <c r="L215" s="409"/>
      <c r="M215" s="410"/>
      <c r="N215" s="411"/>
      <c r="O215" s="411"/>
      <c r="P215" s="411"/>
      <c r="Q215" s="411"/>
    </row>
    <row r="216" spans="1:17" ht="11.25">
      <c r="A216" s="609" t="s">
        <v>76</v>
      </c>
      <c r="B216" s="610"/>
      <c r="C216" s="609" t="s">
        <v>67</v>
      </c>
      <c r="D216" s="610"/>
      <c r="E216" s="315">
        <f aca="true" t="shared" si="2" ref="E216:Q216">SUM(E107,E14)</f>
        <v>39857809</v>
      </c>
      <c r="F216" s="315">
        <f t="shared" si="2"/>
        <v>11675063</v>
      </c>
      <c r="G216" s="315">
        <f t="shared" si="2"/>
        <v>28207625</v>
      </c>
      <c r="H216" s="315">
        <f t="shared" si="2"/>
        <v>13448379</v>
      </c>
      <c r="I216" s="315">
        <f t="shared" si="2"/>
        <v>4509809</v>
      </c>
      <c r="J216" s="315">
        <f t="shared" si="2"/>
        <v>0</v>
      </c>
      <c r="K216" s="315">
        <f t="shared" si="2"/>
        <v>0</v>
      </c>
      <c r="L216" s="315">
        <f t="shared" si="2"/>
        <v>4509809</v>
      </c>
      <c r="M216" s="315">
        <f t="shared" si="2"/>
        <v>8938570</v>
      </c>
      <c r="N216" s="315">
        <f t="shared" si="2"/>
        <v>0</v>
      </c>
      <c r="O216" s="315">
        <f t="shared" si="2"/>
        <v>0</v>
      </c>
      <c r="P216" s="315">
        <f t="shared" si="2"/>
        <v>0</v>
      </c>
      <c r="Q216" s="315">
        <f t="shared" si="2"/>
        <v>8938570</v>
      </c>
    </row>
    <row r="217" spans="1:17" ht="5.25" customHeight="1">
      <c r="A217" s="519"/>
      <c r="B217" s="519"/>
      <c r="C217" s="519"/>
      <c r="D217" s="519"/>
      <c r="E217" s="520"/>
      <c r="F217" s="520"/>
      <c r="G217" s="520"/>
      <c r="H217" s="520"/>
      <c r="I217" s="520"/>
      <c r="J217" s="520"/>
      <c r="K217" s="520"/>
      <c r="L217" s="520"/>
      <c r="M217" s="520"/>
      <c r="N217" s="520"/>
      <c r="O217" s="520"/>
      <c r="P217" s="520"/>
      <c r="Q217" s="520"/>
    </row>
    <row r="218" spans="1:17" ht="11.25">
      <c r="A218" s="611" t="s">
        <v>252</v>
      </c>
      <c r="B218" s="611"/>
      <c r="C218" s="611"/>
      <c r="D218" s="611"/>
      <c r="E218" s="611"/>
      <c r="F218" s="611"/>
      <c r="G218" s="611"/>
      <c r="H218" s="611"/>
      <c r="I218" s="611"/>
      <c r="J218" s="611"/>
      <c r="K218" s="316"/>
      <c r="L218" s="316"/>
      <c r="M218" s="316"/>
      <c r="N218" s="316"/>
      <c r="O218" s="316"/>
      <c r="P218" s="316"/>
      <c r="Q218" s="316"/>
    </row>
    <row r="219" spans="1:17" ht="11.25">
      <c r="A219" s="316" t="s">
        <v>5</v>
      </c>
      <c r="B219" s="316"/>
      <c r="C219" s="316"/>
      <c r="D219" s="316"/>
      <c r="E219" s="316"/>
      <c r="F219" s="316"/>
      <c r="G219" s="316"/>
      <c r="H219" s="316"/>
      <c r="I219" s="316"/>
      <c r="J219" s="316"/>
      <c r="K219" s="316"/>
      <c r="L219" s="316"/>
      <c r="M219" s="316"/>
      <c r="N219" s="316"/>
      <c r="O219" s="316"/>
      <c r="P219" s="316"/>
      <c r="Q219" s="316"/>
    </row>
    <row r="220" ht="11.25">
      <c r="B220" s="73" t="s">
        <v>3</v>
      </c>
    </row>
    <row r="221" ht="11.25">
      <c r="B221" s="73" t="s">
        <v>4</v>
      </c>
    </row>
  </sheetData>
  <mergeCells count="211">
    <mergeCell ref="D181:D185"/>
    <mergeCell ref="A117:A126"/>
    <mergeCell ref="C117:Q117"/>
    <mergeCell ref="C118:Q118"/>
    <mergeCell ref="C119:Q119"/>
    <mergeCell ref="C120:Q120"/>
    <mergeCell ref="C122:C126"/>
    <mergeCell ref="D122:D126"/>
    <mergeCell ref="C176:Q176"/>
    <mergeCell ref="C177:Q177"/>
    <mergeCell ref="C178:Q178"/>
    <mergeCell ref="C179:Q179"/>
    <mergeCell ref="A156:A165"/>
    <mergeCell ref="A42:A43"/>
    <mergeCell ref="C166:Q166"/>
    <mergeCell ref="C167:Q167"/>
    <mergeCell ref="C168:Q168"/>
    <mergeCell ref="C169:Q169"/>
    <mergeCell ref="C157:Q157"/>
    <mergeCell ref="C158:Q158"/>
    <mergeCell ref="Q20:Q23"/>
    <mergeCell ref="A15:A23"/>
    <mergeCell ref="C15:Q15"/>
    <mergeCell ref="C16:Q16"/>
    <mergeCell ref="C17:Q17"/>
    <mergeCell ref="C18:Q18"/>
    <mergeCell ref="C20:C23"/>
    <mergeCell ref="D20:D23"/>
    <mergeCell ref="I20:I23"/>
    <mergeCell ref="J20:J23"/>
    <mergeCell ref="C159:Q159"/>
    <mergeCell ref="C161:C165"/>
    <mergeCell ref="D161:D165"/>
    <mergeCell ref="D171:D172"/>
    <mergeCell ref="H20:H23"/>
    <mergeCell ref="C45:Q45"/>
    <mergeCell ref="P38:P41"/>
    <mergeCell ref="C36:Q36"/>
    <mergeCell ref="C38:C41"/>
    <mergeCell ref="O38:O41"/>
    <mergeCell ref="D38:D41"/>
    <mergeCell ref="H38:H41"/>
    <mergeCell ref="I38:I41"/>
    <mergeCell ref="J38:J41"/>
    <mergeCell ref="A146:A155"/>
    <mergeCell ref="C146:Q146"/>
    <mergeCell ref="C147:Q147"/>
    <mergeCell ref="C148:Q148"/>
    <mergeCell ref="C149:Q149"/>
    <mergeCell ref="C151:C155"/>
    <mergeCell ref="D151:D155"/>
    <mergeCell ref="C156:Q156"/>
    <mergeCell ref="A33:A41"/>
    <mergeCell ref="C42:Q42"/>
    <mergeCell ref="C43:Q43"/>
    <mergeCell ref="C44:Q44"/>
    <mergeCell ref="K38:K41"/>
    <mergeCell ref="Q38:Q41"/>
    <mergeCell ref="L38:L41"/>
    <mergeCell ref="M38:M41"/>
    <mergeCell ref="C34:Q34"/>
    <mergeCell ref="N38:N41"/>
    <mergeCell ref="A24:A32"/>
    <mergeCell ref="C29:C32"/>
    <mergeCell ref="D29:D32"/>
    <mergeCell ref="H29:H32"/>
    <mergeCell ref="C27:Q27"/>
    <mergeCell ref="I29:I32"/>
    <mergeCell ref="J29:J32"/>
    <mergeCell ref="K29:K32"/>
    <mergeCell ref="L29:L32"/>
    <mergeCell ref="C14:D14"/>
    <mergeCell ref="C24:Q24"/>
    <mergeCell ref="C25:Q25"/>
    <mergeCell ref="C26:Q26"/>
    <mergeCell ref="K20:K23"/>
    <mergeCell ref="L20:L23"/>
    <mergeCell ref="M20:M23"/>
    <mergeCell ref="N20:N23"/>
    <mergeCell ref="O20:O23"/>
    <mergeCell ref="P20:P23"/>
    <mergeCell ref="C33:Q33"/>
    <mergeCell ref="N29:N32"/>
    <mergeCell ref="O29:O32"/>
    <mergeCell ref="P29:P32"/>
    <mergeCell ref="Q29:Q32"/>
    <mergeCell ref="M29:M32"/>
    <mergeCell ref="C35:Q35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H47:H49"/>
    <mergeCell ref="I47:I49"/>
    <mergeCell ref="J47:J49"/>
    <mergeCell ref="K47:K49"/>
    <mergeCell ref="L47:L49"/>
    <mergeCell ref="M47:M49"/>
    <mergeCell ref="N47:N49"/>
    <mergeCell ref="O47:O49"/>
    <mergeCell ref="C52:Q52"/>
    <mergeCell ref="C53:Q53"/>
    <mergeCell ref="C54:Q54"/>
    <mergeCell ref="C55:C60"/>
    <mergeCell ref="D55:D60"/>
    <mergeCell ref="C65:C69"/>
    <mergeCell ref="D65:D69"/>
    <mergeCell ref="C88:Q88"/>
    <mergeCell ref="C89:Q89"/>
    <mergeCell ref="C79:Q79"/>
    <mergeCell ref="C80:Q80"/>
    <mergeCell ref="C81:Q81"/>
    <mergeCell ref="C82:Q82"/>
    <mergeCell ref="C84:C87"/>
    <mergeCell ref="D84:D87"/>
    <mergeCell ref="C61:Q61"/>
    <mergeCell ref="C62:Q62"/>
    <mergeCell ref="C63:Q63"/>
    <mergeCell ref="C64:Q64"/>
    <mergeCell ref="C90:Q90"/>
    <mergeCell ref="C91:Q91"/>
    <mergeCell ref="A97:A106"/>
    <mergeCell ref="C97:Q97"/>
    <mergeCell ref="C98:Q98"/>
    <mergeCell ref="C99:Q99"/>
    <mergeCell ref="C100:Q100"/>
    <mergeCell ref="C102:C106"/>
    <mergeCell ref="D102:D106"/>
    <mergeCell ref="C111:Q111"/>
    <mergeCell ref="D114:D116"/>
    <mergeCell ref="C93:C96"/>
    <mergeCell ref="D93:D96"/>
    <mergeCell ref="C107:D107"/>
    <mergeCell ref="C108:Q108"/>
    <mergeCell ref="C109:Q109"/>
    <mergeCell ref="C110:Q110"/>
    <mergeCell ref="A218:J218"/>
    <mergeCell ref="C206:Q206"/>
    <mergeCell ref="C207:Q207"/>
    <mergeCell ref="C208:Q208"/>
    <mergeCell ref="C209:Q209"/>
    <mergeCell ref="C211:C215"/>
    <mergeCell ref="D211:D215"/>
    <mergeCell ref="A206:A207"/>
    <mergeCell ref="A208:A215"/>
    <mergeCell ref="C51:Q51"/>
    <mergeCell ref="A216:B216"/>
    <mergeCell ref="C216:D216"/>
    <mergeCell ref="A137:A145"/>
    <mergeCell ref="C137:Q137"/>
    <mergeCell ref="C138:Q138"/>
    <mergeCell ref="C139:Q139"/>
    <mergeCell ref="C140:Q140"/>
    <mergeCell ref="C142:C145"/>
    <mergeCell ref="D142:D145"/>
    <mergeCell ref="A127:A136"/>
    <mergeCell ref="C75:C78"/>
    <mergeCell ref="D75:D78"/>
    <mergeCell ref="C132:C136"/>
    <mergeCell ref="D132:D136"/>
    <mergeCell ref="C127:Q127"/>
    <mergeCell ref="C128:Q128"/>
    <mergeCell ref="C129:Q129"/>
    <mergeCell ref="C130:Q130"/>
    <mergeCell ref="A70:A78"/>
    <mergeCell ref="C191:C195"/>
    <mergeCell ref="D191:D195"/>
    <mergeCell ref="C47:C50"/>
    <mergeCell ref="D47:D50"/>
    <mergeCell ref="C70:Q70"/>
    <mergeCell ref="C71:Q71"/>
    <mergeCell ref="C72:Q72"/>
    <mergeCell ref="C73:Q73"/>
    <mergeCell ref="P47:P49"/>
    <mergeCell ref="Q47:Q49"/>
    <mergeCell ref="C186:Q186"/>
    <mergeCell ref="C187:Q187"/>
    <mergeCell ref="C188:Q188"/>
    <mergeCell ref="C189:Q189"/>
    <mergeCell ref="A166:A172"/>
    <mergeCell ref="A176:A185"/>
    <mergeCell ref="A196:A205"/>
    <mergeCell ref="C196:Q196"/>
    <mergeCell ref="C197:Q197"/>
    <mergeCell ref="C198:Q198"/>
    <mergeCell ref="C199:Q199"/>
    <mergeCell ref="C201:C205"/>
    <mergeCell ref="D201:D205"/>
    <mergeCell ref="A186:A195"/>
    <mergeCell ref="A44:A50"/>
    <mergeCell ref="A88:A89"/>
    <mergeCell ref="A90:A96"/>
    <mergeCell ref="A108:A116"/>
    <mergeCell ref="A51:A60"/>
    <mergeCell ref="A61:A69"/>
    <mergeCell ref="A79:A87"/>
  </mergeCells>
  <printOptions/>
  <pageMargins left="0.17" right="0.21" top="0.81" bottom="0.49" header="0.81" footer="0.34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tabColor indexed="33"/>
  </sheetPr>
  <dimension ref="A1:M88"/>
  <sheetViews>
    <sheetView workbookViewId="0" topLeftCell="A1">
      <selection activeCell="O14" sqref="O14"/>
    </sheetView>
  </sheetViews>
  <sheetFormatPr defaultColWidth="9.00390625" defaultRowHeight="12.75"/>
  <cols>
    <col min="1" max="1" width="4.125" style="1" customWidth="1"/>
    <col min="2" max="3" width="6.625" style="1" customWidth="1"/>
    <col min="4" max="4" width="2.375" style="1" customWidth="1"/>
    <col min="5" max="5" width="27.00390625" style="1" customWidth="1"/>
    <col min="6" max="6" width="11.375" style="47" customWidth="1"/>
    <col min="7" max="9" width="11.625" style="1" customWidth="1"/>
    <col min="10" max="10" width="10.00390625" style="1" customWidth="1"/>
    <col min="11" max="13" width="11.625" style="1" customWidth="1"/>
    <col min="14" max="16384" width="9.125" style="1" customWidth="1"/>
  </cols>
  <sheetData>
    <row r="1" spans="5:13" ht="16.5" customHeight="1">
      <c r="E1" s="79"/>
      <c r="F1" s="79"/>
      <c r="M1" s="80" t="s">
        <v>41</v>
      </c>
    </row>
    <row r="2" spans="5:13" ht="13.5" customHeight="1">
      <c r="E2" s="81"/>
      <c r="F2" s="81"/>
      <c r="M2" s="38" t="s">
        <v>445</v>
      </c>
    </row>
    <row r="3" spans="5:13" ht="15.75" customHeight="1">
      <c r="E3" s="81"/>
      <c r="F3" s="81"/>
      <c r="M3" s="38" t="s">
        <v>42</v>
      </c>
    </row>
    <row r="4" ht="3" customHeight="1"/>
    <row r="5" spans="1:12" s="82" customFormat="1" ht="16.5">
      <c r="A5" s="666" t="s">
        <v>89</v>
      </c>
      <c r="B5" s="666"/>
      <c r="C5" s="666"/>
      <c r="D5" s="666"/>
      <c r="E5" s="666"/>
      <c r="F5" s="666"/>
      <c r="G5" s="666"/>
      <c r="H5" s="666"/>
      <c r="I5" s="666"/>
      <c r="J5" s="666"/>
      <c r="K5" s="666"/>
      <c r="L5" s="666"/>
    </row>
    <row r="6" spans="1:12" s="82" customFormat="1" ht="15" customHeight="1">
      <c r="A6" s="666" t="s">
        <v>164</v>
      </c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</row>
    <row r="7" ht="5.25" customHeight="1"/>
    <row r="8" spans="1:13" s="77" customFormat="1" ht="11.25" customHeight="1">
      <c r="A8" s="665" t="s">
        <v>22</v>
      </c>
      <c r="B8" s="665"/>
      <c r="C8" s="665"/>
      <c r="D8" s="671" t="s">
        <v>276</v>
      </c>
      <c r="E8" s="672"/>
      <c r="F8" s="677" t="s">
        <v>86</v>
      </c>
      <c r="G8" s="677" t="s">
        <v>266</v>
      </c>
      <c r="H8" s="633" t="s">
        <v>53</v>
      </c>
      <c r="I8" s="634"/>
      <c r="J8" s="634"/>
      <c r="K8" s="634"/>
      <c r="L8" s="634"/>
      <c r="M8" s="635"/>
    </row>
    <row r="9" spans="1:13" s="77" customFormat="1" ht="11.25" customHeight="1">
      <c r="A9" s="663" t="s">
        <v>359</v>
      </c>
      <c r="B9" s="663" t="s">
        <v>360</v>
      </c>
      <c r="C9" s="663" t="s">
        <v>437</v>
      </c>
      <c r="D9" s="673"/>
      <c r="E9" s="674"/>
      <c r="F9" s="678"/>
      <c r="G9" s="678"/>
      <c r="H9" s="667" t="s">
        <v>275</v>
      </c>
      <c r="I9" s="667" t="s">
        <v>56</v>
      </c>
      <c r="J9" s="667"/>
      <c r="K9" s="667"/>
      <c r="L9" s="667" t="s">
        <v>338</v>
      </c>
      <c r="M9" s="76" t="s">
        <v>108</v>
      </c>
    </row>
    <row r="10" spans="1:13" s="77" customFormat="1" ht="33.75" customHeight="1">
      <c r="A10" s="664"/>
      <c r="B10" s="664"/>
      <c r="C10" s="664"/>
      <c r="D10" s="675"/>
      <c r="E10" s="676"/>
      <c r="F10" s="679"/>
      <c r="G10" s="679"/>
      <c r="H10" s="667"/>
      <c r="I10" s="75" t="s">
        <v>88</v>
      </c>
      <c r="J10" s="75" t="s">
        <v>87</v>
      </c>
      <c r="K10" s="75" t="s">
        <v>265</v>
      </c>
      <c r="L10" s="667"/>
      <c r="M10" s="444" t="s">
        <v>265</v>
      </c>
    </row>
    <row r="11" spans="1:13" s="77" customFormat="1" ht="14.25" customHeight="1">
      <c r="A11" s="76">
        <v>1</v>
      </c>
      <c r="B11" s="76">
        <v>2</v>
      </c>
      <c r="C11" s="76">
        <v>3</v>
      </c>
      <c r="D11" s="665">
        <v>4</v>
      </c>
      <c r="E11" s="668"/>
      <c r="F11" s="78">
        <v>5</v>
      </c>
      <c r="G11" s="78">
        <v>6</v>
      </c>
      <c r="H11" s="78">
        <v>7</v>
      </c>
      <c r="I11" s="78">
        <v>8</v>
      </c>
      <c r="J11" s="78">
        <v>9</v>
      </c>
      <c r="K11" s="78">
        <v>10</v>
      </c>
      <c r="L11" s="78">
        <v>11</v>
      </c>
      <c r="M11" s="78">
        <v>12</v>
      </c>
    </row>
    <row r="12" spans="1:13" s="44" customFormat="1" ht="21" customHeight="1">
      <c r="A12" s="652">
        <v>600</v>
      </c>
      <c r="B12" s="652">
        <v>60014</v>
      </c>
      <c r="C12" s="555">
        <v>2310</v>
      </c>
      <c r="D12" s="657" t="s">
        <v>267</v>
      </c>
      <c r="E12" s="658"/>
      <c r="F12" s="344" t="s">
        <v>433</v>
      </c>
      <c r="G12" s="345">
        <v>149000</v>
      </c>
      <c r="H12" s="83">
        <v>149000</v>
      </c>
      <c r="I12" s="84">
        <v>0</v>
      </c>
      <c r="J12" s="85">
        <v>0</v>
      </c>
      <c r="K12" s="85">
        <v>149000</v>
      </c>
      <c r="L12" s="85">
        <v>0</v>
      </c>
      <c r="M12" s="456">
        <v>0</v>
      </c>
    </row>
    <row r="13" spans="1:13" s="44" customFormat="1" ht="12.75" customHeight="1">
      <c r="A13" s="653"/>
      <c r="B13" s="653"/>
      <c r="C13" s="556"/>
      <c r="D13" s="669" t="s">
        <v>270</v>
      </c>
      <c r="E13" s="670"/>
      <c r="F13" s="346"/>
      <c r="G13" s="346"/>
      <c r="H13" s="133"/>
      <c r="I13" s="134"/>
      <c r="J13" s="135"/>
      <c r="K13" s="135"/>
      <c r="L13" s="135"/>
      <c r="M13" s="457"/>
    </row>
    <row r="14" spans="1:13" s="44" customFormat="1" ht="12.75" customHeight="1">
      <c r="A14" s="653"/>
      <c r="B14" s="653"/>
      <c r="C14" s="556"/>
      <c r="D14" s="669" t="s">
        <v>107</v>
      </c>
      <c r="E14" s="670"/>
      <c r="F14" s="346"/>
      <c r="G14" s="346"/>
      <c r="H14" s="133"/>
      <c r="I14" s="134"/>
      <c r="J14" s="135"/>
      <c r="K14" s="135"/>
      <c r="L14" s="135"/>
      <c r="M14" s="457"/>
    </row>
    <row r="15" spans="1:13" s="44" customFormat="1" ht="12.75" customHeight="1">
      <c r="A15" s="653"/>
      <c r="B15" s="653"/>
      <c r="C15" s="556"/>
      <c r="D15" s="669" t="s">
        <v>269</v>
      </c>
      <c r="E15" s="670"/>
      <c r="F15" s="346"/>
      <c r="G15" s="346"/>
      <c r="H15" s="133"/>
      <c r="I15" s="134"/>
      <c r="J15" s="135"/>
      <c r="K15" s="135"/>
      <c r="L15" s="135"/>
      <c r="M15" s="457"/>
    </row>
    <row r="16" spans="1:13" s="44" customFormat="1" ht="12.75" customHeight="1">
      <c r="A16" s="653"/>
      <c r="B16" s="653"/>
      <c r="C16" s="556"/>
      <c r="D16" s="669" t="s">
        <v>268</v>
      </c>
      <c r="E16" s="670"/>
      <c r="F16" s="346"/>
      <c r="G16" s="346"/>
      <c r="H16" s="133"/>
      <c r="I16" s="134"/>
      <c r="J16" s="135"/>
      <c r="K16" s="135"/>
      <c r="L16" s="135"/>
      <c r="M16" s="457"/>
    </row>
    <row r="17" spans="1:13" s="44" customFormat="1" ht="10.5" customHeight="1">
      <c r="A17" s="653"/>
      <c r="B17" s="653"/>
      <c r="C17" s="556"/>
      <c r="D17" s="669" t="s">
        <v>165</v>
      </c>
      <c r="E17" s="670"/>
      <c r="F17" s="347"/>
      <c r="G17" s="347"/>
      <c r="H17" s="136"/>
      <c r="I17" s="137"/>
      <c r="J17" s="138"/>
      <c r="K17" s="138"/>
      <c r="L17" s="138"/>
      <c r="M17" s="458"/>
    </row>
    <row r="18" spans="1:13" s="71" customFormat="1" ht="33" customHeight="1">
      <c r="A18" s="259">
        <v>600</v>
      </c>
      <c r="B18" s="127">
        <v>60014</v>
      </c>
      <c r="C18" s="385">
        <v>2710</v>
      </c>
      <c r="D18" s="629" t="s">
        <v>209</v>
      </c>
      <c r="E18" s="630"/>
      <c r="F18" s="348">
        <v>819990</v>
      </c>
      <c r="G18" s="348" t="s">
        <v>433</v>
      </c>
      <c r="H18" s="348" t="s">
        <v>433</v>
      </c>
      <c r="I18" s="348" t="s">
        <v>433</v>
      </c>
      <c r="J18" s="348" t="s">
        <v>433</v>
      </c>
      <c r="K18" s="348" t="s">
        <v>433</v>
      </c>
      <c r="L18" s="348" t="s">
        <v>433</v>
      </c>
      <c r="M18" s="348" t="s">
        <v>433</v>
      </c>
    </row>
    <row r="19" spans="1:13" s="71" customFormat="1" ht="12.75">
      <c r="A19" s="342"/>
      <c r="B19" s="375"/>
      <c r="C19" s="386"/>
      <c r="D19" s="376" t="s">
        <v>367</v>
      </c>
      <c r="E19" s="383" t="s">
        <v>6</v>
      </c>
      <c r="F19" s="641"/>
      <c r="G19" s="641"/>
      <c r="H19" s="636"/>
      <c r="I19" s="636"/>
      <c r="J19" s="636"/>
      <c r="K19" s="636"/>
      <c r="L19" s="636"/>
      <c r="M19" s="459"/>
    </row>
    <row r="20" spans="1:13" s="71" customFormat="1" ht="12.75">
      <c r="A20" s="342"/>
      <c r="B20" s="375"/>
      <c r="C20" s="386"/>
      <c r="D20" s="376" t="s">
        <v>368</v>
      </c>
      <c r="E20" s="383" t="s">
        <v>259</v>
      </c>
      <c r="F20" s="643"/>
      <c r="G20" s="643"/>
      <c r="H20" s="638"/>
      <c r="I20" s="638"/>
      <c r="J20" s="638"/>
      <c r="K20" s="638"/>
      <c r="L20" s="638"/>
      <c r="M20" s="460"/>
    </row>
    <row r="21" spans="1:13" s="71" customFormat="1" ht="12.75">
      <c r="A21" s="342"/>
      <c r="B21" s="375"/>
      <c r="C21" s="218">
        <v>4270</v>
      </c>
      <c r="D21" s="639" t="s">
        <v>143</v>
      </c>
      <c r="E21" s="640"/>
      <c r="F21" s="348">
        <v>0</v>
      </c>
      <c r="G21" s="348">
        <v>819990</v>
      </c>
      <c r="H21" s="137">
        <v>819990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</row>
    <row r="22" spans="1:13" s="71" customFormat="1" ht="57.75" customHeight="1">
      <c r="A22" s="259">
        <v>600</v>
      </c>
      <c r="B22" s="127">
        <v>60014</v>
      </c>
      <c r="C22" s="385">
        <v>6300</v>
      </c>
      <c r="D22" s="629" t="s">
        <v>205</v>
      </c>
      <c r="E22" s="630"/>
      <c r="F22" s="348">
        <v>914500</v>
      </c>
      <c r="G22" s="348" t="s">
        <v>433</v>
      </c>
      <c r="H22" s="348" t="s">
        <v>433</v>
      </c>
      <c r="I22" s="348" t="s">
        <v>433</v>
      </c>
      <c r="J22" s="348" t="s">
        <v>433</v>
      </c>
      <c r="K22" s="348" t="s">
        <v>433</v>
      </c>
      <c r="L22" s="348" t="s">
        <v>433</v>
      </c>
      <c r="M22" s="348" t="s">
        <v>433</v>
      </c>
    </row>
    <row r="23" spans="1:13" s="71" customFormat="1" ht="12" customHeight="1">
      <c r="A23" s="342"/>
      <c r="B23" s="375"/>
      <c r="C23" s="386"/>
      <c r="D23" s="503" t="s">
        <v>367</v>
      </c>
      <c r="E23" s="376" t="s">
        <v>203</v>
      </c>
      <c r="F23" s="641"/>
      <c r="G23" s="641"/>
      <c r="H23" s="636"/>
      <c r="I23" s="636"/>
      <c r="J23" s="636"/>
      <c r="K23" s="636"/>
      <c r="L23" s="636"/>
      <c r="M23" s="459"/>
    </row>
    <row r="24" spans="1:13" s="71" customFormat="1" ht="12.75" customHeight="1">
      <c r="A24" s="342"/>
      <c r="B24" s="375"/>
      <c r="C24" s="386"/>
      <c r="D24" s="503" t="s">
        <v>368</v>
      </c>
      <c r="E24" s="376" t="s">
        <v>204</v>
      </c>
      <c r="F24" s="642"/>
      <c r="G24" s="642"/>
      <c r="H24" s="637"/>
      <c r="I24" s="637"/>
      <c r="J24" s="637"/>
      <c r="K24" s="637"/>
      <c r="L24" s="637"/>
      <c r="M24" s="461"/>
    </row>
    <row r="25" spans="1:13" s="71" customFormat="1" ht="12.75" customHeight="1">
      <c r="A25" s="342"/>
      <c r="B25" s="375"/>
      <c r="C25" s="386"/>
      <c r="D25" s="503" t="s">
        <v>369</v>
      </c>
      <c r="E25" s="376" t="s">
        <v>260</v>
      </c>
      <c r="F25" s="643"/>
      <c r="G25" s="643"/>
      <c r="H25" s="638"/>
      <c r="I25" s="638"/>
      <c r="J25" s="638"/>
      <c r="K25" s="638"/>
      <c r="L25" s="638"/>
      <c r="M25" s="460"/>
    </row>
    <row r="26" spans="1:13" s="71" customFormat="1" ht="21.75" customHeight="1">
      <c r="A26" s="342"/>
      <c r="B26" s="375"/>
      <c r="C26" s="218">
        <v>6050</v>
      </c>
      <c r="D26" s="639" t="s">
        <v>144</v>
      </c>
      <c r="E26" s="640"/>
      <c r="F26" s="348" t="s">
        <v>433</v>
      </c>
      <c r="G26" s="348">
        <v>914500</v>
      </c>
      <c r="H26" s="137">
        <v>0</v>
      </c>
      <c r="I26" s="137">
        <v>0</v>
      </c>
      <c r="J26" s="137">
        <v>0</v>
      </c>
      <c r="K26" s="137">
        <v>0</v>
      </c>
      <c r="L26" s="137">
        <v>914500</v>
      </c>
      <c r="M26" s="139">
        <v>0</v>
      </c>
    </row>
    <row r="27" spans="1:13" s="71" customFormat="1" ht="47.25" customHeight="1">
      <c r="A27" s="446">
        <v>600</v>
      </c>
      <c r="B27" s="132">
        <v>60014</v>
      </c>
      <c r="C27" s="358">
        <v>6309</v>
      </c>
      <c r="D27" s="629" t="s">
        <v>210</v>
      </c>
      <c r="E27" s="630"/>
      <c r="F27" s="209">
        <v>2848443</v>
      </c>
      <c r="G27" s="209" t="s">
        <v>433</v>
      </c>
      <c r="H27" s="139" t="s">
        <v>433</v>
      </c>
      <c r="I27" s="139" t="s">
        <v>433</v>
      </c>
      <c r="J27" s="139" t="s">
        <v>433</v>
      </c>
      <c r="K27" s="139" t="s">
        <v>433</v>
      </c>
      <c r="L27" s="139" t="s">
        <v>433</v>
      </c>
      <c r="M27" s="139" t="s">
        <v>433</v>
      </c>
    </row>
    <row r="28" spans="1:13" s="71" customFormat="1" ht="33.75">
      <c r="A28" s="259">
        <v>600</v>
      </c>
      <c r="B28" s="127">
        <v>60014</v>
      </c>
      <c r="C28" s="385">
        <v>6309</v>
      </c>
      <c r="D28" s="376">
        <v>1</v>
      </c>
      <c r="E28" s="447" t="s">
        <v>206</v>
      </c>
      <c r="F28" s="345"/>
      <c r="G28" s="345"/>
      <c r="H28" s="83"/>
      <c r="I28" s="84"/>
      <c r="J28" s="85"/>
      <c r="K28" s="85"/>
      <c r="L28" s="85"/>
      <c r="M28" s="459"/>
    </row>
    <row r="29" spans="1:13" s="71" customFormat="1" ht="45" customHeight="1">
      <c r="A29" s="259"/>
      <c r="B29" s="127"/>
      <c r="C29" s="385"/>
      <c r="D29" s="376">
        <v>2</v>
      </c>
      <c r="E29" s="447" t="s">
        <v>207</v>
      </c>
      <c r="F29" s="349"/>
      <c r="G29" s="349"/>
      <c r="H29" s="133"/>
      <c r="I29" s="134"/>
      <c r="J29" s="135"/>
      <c r="K29" s="135"/>
      <c r="L29" s="135"/>
      <c r="M29" s="461"/>
    </row>
    <row r="30" spans="1:13" s="71" customFormat="1" ht="45">
      <c r="A30" s="342"/>
      <c r="B30" s="375"/>
      <c r="C30" s="386"/>
      <c r="D30" s="376">
        <v>3</v>
      </c>
      <c r="E30" s="447" t="s">
        <v>208</v>
      </c>
      <c r="F30" s="395"/>
      <c r="G30" s="395"/>
      <c r="H30" s="136"/>
      <c r="I30" s="137"/>
      <c r="J30" s="138"/>
      <c r="K30" s="138"/>
      <c r="L30" s="138"/>
      <c r="M30" s="460"/>
    </row>
    <row r="31" spans="1:13" s="71" customFormat="1" ht="24.75" customHeight="1">
      <c r="A31" s="343"/>
      <c r="B31" s="128"/>
      <c r="C31" s="218">
        <v>6059</v>
      </c>
      <c r="D31" s="639" t="s">
        <v>144</v>
      </c>
      <c r="E31" s="640"/>
      <c r="F31" s="348" t="s">
        <v>433</v>
      </c>
      <c r="G31" s="348">
        <v>2848443</v>
      </c>
      <c r="H31" s="137">
        <v>0</v>
      </c>
      <c r="I31" s="137">
        <v>0</v>
      </c>
      <c r="J31" s="137">
        <v>0</v>
      </c>
      <c r="K31" s="137">
        <v>0</v>
      </c>
      <c r="L31" s="137">
        <v>2848443</v>
      </c>
      <c r="M31" s="137">
        <v>0</v>
      </c>
    </row>
    <row r="32" spans="1:13" s="71" customFormat="1" ht="24" customHeight="1">
      <c r="A32" s="342">
        <v>630</v>
      </c>
      <c r="B32" s="375">
        <v>63003</v>
      </c>
      <c r="C32" s="386">
        <v>6619</v>
      </c>
      <c r="D32" s="662" t="s">
        <v>171</v>
      </c>
      <c r="E32" s="681"/>
      <c r="F32" s="365">
        <v>70000</v>
      </c>
      <c r="G32" s="365" t="s">
        <v>433</v>
      </c>
      <c r="H32" s="365" t="s">
        <v>433</v>
      </c>
      <c r="I32" s="365" t="s">
        <v>433</v>
      </c>
      <c r="J32" s="365" t="s">
        <v>433</v>
      </c>
      <c r="K32" s="365" t="s">
        <v>433</v>
      </c>
      <c r="L32" s="365" t="s">
        <v>433</v>
      </c>
      <c r="M32" s="209" t="s">
        <v>433</v>
      </c>
    </row>
    <row r="33" spans="1:13" s="71" customFormat="1" ht="12.75" customHeight="1">
      <c r="A33" s="342"/>
      <c r="B33" s="375"/>
      <c r="C33" s="386"/>
      <c r="D33" s="387">
        <v>1</v>
      </c>
      <c r="E33" s="214" t="s">
        <v>172</v>
      </c>
      <c r="F33" s="345"/>
      <c r="G33" s="345"/>
      <c r="H33" s="83"/>
      <c r="I33" s="84"/>
      <c r="J33" s="85"/>
      <c r="K33" s="85"/>
      <c r="L33" s="85"/>
      <c r="M33" s="459"/>
    </row>
    <row r="34" spans="1:13" s="71" customFormat="1" ht="12.75" customHeight="1">
      <c r="A34" s="342"/>
      <c r="B34" s="375"/>
      <c r="C34" s="386"/>
      <c r="D34" s="387">
        <v>2</v>
      </c>
      <c r="E34" s="214" t="s">
        <v>173</v>
      </c>
      <c r="F34" s="349"/>
      <c r="G34" s="349"/>
      <c r="H34" s="133"/>
      <c r="I34" s="134"/>
      <c r="J34" s="135"/>
      <c r="K34" s="135"/>
      <c r="L34" s="135"/>
      <c r="M34" s="461"/>
    </row>
    <row r="35" spans="1:13" s="71" customFormat="1" ht="12.75" customHeight="1">
      <c r="A35" s="342"/>
      <c r="B35" s="375"/>
      <c r="C35" s="386"/>
      <c r="D35" s="387">
        <v>3</v>
      </c>
      <c r="E35" s="214" t="s">
        <v>174</v>
      </c>
      <c r="F35" s="395"/>
      <c r="G35" s="395"/>
      <c r="H35" s="136"/>
      <c r="I35" s="137"/>
      <c r="J35" s="138"/>
      <c r="K35" s="138"/>
      <c r="L35" s="138"/>
      <c r="M35" s="460"/>
    </row>
    <row r="36" spans="1:13" s="71" customFormat="1" ht="24.75" customHeight="1">
      <c r="A36" s="337">
        <v>630</v>
      </c>
      <c r="B36" s="129">
        <v>63003</v>
      </c>
      <c r="C36" s="389">
        <v>6639</v>
      </c>
      <c r="D36" s="680" t="s">
        <v>191</v>
      </c>
      <c r="E36" s="680"/>
      <c r="F36" s="349" t="s">
        <v>433</v>
      </c>
      <c r="G36" s="349">
        <v>101270</v>
      </c>
      <c r="H36" s="391">
        <v>0</v>
      </c>
      <c r="I36" s="392">
        <v>0</v>
      </c>
      <c r="J36" s="393">
        <v>0</v>
      </c>
      <c r="K36" s="393">
        <v>0</v>
      </c>
      <c r="L36" s="393">
        <v>101270</v>
      </c>
      <c r="M36" s="388">
        <v>101270</v>
      </c>
    </row>
    <row r="37" spans="1:13" s="71" customFormat="1" ht="21.75" customHeight="1">
      <c r="A37" s="398"/>
      <c r="B37" s="143"/>
      <c r="C37" s="399"/>
      <c r="D37" s="390">
        <v>1</v>
      </c>
      <c r="E37" s="384" t="s">
        <v>190</v>
      </c>
      <c r="F37" s="349"/>
      <c r="G37" s="349"/>
      <c r="H37" s="391"/>
      <c r="I37" s="392"/>
      <c r="J37" s="393"/>
      <c r="K37" s="393"/>
      <c r="L37" s="393"/>
      <c r="M37" s="461"/>
    </row>
    <row r="38" spans="1:13" s="71" customFormat="1" ht="53.25" customHeight="1">
      <c r="A38" s="360"/>
      <c r="B38" s="339"/>
      <c r="C38" s="394"/>
      <c r="D38" s="390">
        <v>2</v>
      </c>
      <c r="E38" s="384" t="s">
        <v>192</v>
      </c>
      <c r="F38" s="395"/>
      <c r="G38" s="395"/>
      <c r="H38" s="396"/>
      <c r="I38" s="355"/>
      <c r="J38" s="397"/>
      <c r="K38" s="397"/>
      <c r="L38" s="397"/>
      <c r="M38" s="460"/>
    </row>
    <row r="39" spans="1:13" s="45" customFormat="1" ht="57" customHeight="1">
      <c r="A39" s="128">
        <v>750</v>
      </c>
      <c r="B39" s="128">
        <v>75018</v>
      </c>
      <c r="C39" s="128">
        <v>2330</v>
      </c>
      <c r="D39" s="657" t="s">
        <v>23</v>
      </c>
      <c r="E39" s="657"/>
      <c r="F39" s="350" t="s">
        <v>433</v>
      </c>
      <c r="G39" s="348">
        <v>6000</v>
      </c>
      <c r="H39" s="137">
        <v>6000</v>
      </c>
      <c r="I39" s="137">
        <v>0</v>
      </c>
      <c r="J39" s="137">
        <v>0</v>
      </c>
      <c r="K39" s="137">
        <v>6000</v>
      </c>
      <c r="L39" s="137">
        <v>0</v>
      </c>
      <c r="M39" s="137">
        <v>0</v>
      </c>
    </row>
    <row r="40" spans="1:13" s="474" customFormat="1" ht="33" customHeight="1">
      <c r="A40" s="259">
        <v>750</v>
      </c>
      <c r="B40" s="127">
        <v>75095</v>
      </c>
      <c r="C40" s="385">
        <v>2710</v>
      </c>
      <c r="D40" s="629" t="s">
        <v>127</v>
      </c>
      <c r="E40" s="630"/>
      <c r="F40" s="209">
        <v>8400</v>
      </c>
      <c r="G40" s="209" t="s">
        <v>433</v>
      </c>
      <c r="H40" s="209" t="s">
        <v>433</v>
      </c>
      <c r="I40" s="209" t="s">
        <v>433</v>
      </c>
      <c r="J40" s="209" t="s">
        <v>433</v>
      </c>
      <c r="K40" s="209" t="s">
        <v>433</v>
      </c>
      <c r="L40" s="209" t="s">
        <v>433</v>
      </c>
      <c r="M40" s="209" t="s">
        <v>433</v>
      </c>
    </row>
    <row r="41" spans="1:13" s="474" customFormat="1" ht="12.75">
      <c r="A41" s="343"/>
      <c r="B41" s="128"/>
      <c r="C41" s="478"/>
      <c r="D41" s="475" t="s">
        <v>367</v>
      </c>
      <c r="E41" s="472" t="s">
        <v>129</v>
      </c>
      <c r="F41" s="330"/>
      <c r="G41" s="330"/>
      <c r="H41" s="479"/>
      <c r="I41" s="479"/>
      <c r="J41" s="479"/>
      <c r="K41" s="479"/>
      <c r="L41" s="479"/>
      <c r="M41" s="480"/>
    </row>
    <row r="42" spans="1:13" s="474" customFormat="1" ht="12.75">
      <c r="A42" s="259">
        <v>750</v>
      </c>
      <c r="B42" s="127">
        <v>75095</v>
      </c>
      <c r="C42" s="385">
        <v>2710</v>
      </c>
      <c r="D42" s="475" t="s">
        <v>368</v>
      </c>
      <c r="E42" s="472" t="s">
        <v>130</v>
      </c>
      <c r="F42" s="471"/>
      <c r="G42" s="471"/>
      <c r="H42" s="469"/>
      <c r="I42" s="469"/>
      <c r="J42" s="469"/>
      <c r="K42" s="469"/>
      <c r="L42" s="469"/>
      <c r="M42" s="476"/>
    </row>
    <row r="43" spans="1:13" s="474" customFormat="1" ht="12.75">
      <c r="A43" s="342"/>
      <c r="B43" s="375"/>
      <c r="C43" s="386"/>
      <c r="D43" s="475" t="s">
        <v>369</v>
      </c>
      <c r="E43" s="472" t="s">
        <v>131</v>
      </c>
      <c r="F43" s="350"/>
      <c r="G43" s="350"/>
      <c r="H43" s="470"/>
      <c r="I43" s="470"/>
      <c r="J43" s="470"/>
      <c r="K43" s="470"/>
      <c r="L43" s="470"/>
      <c r="M43" s="477"/>
    </row>
    <row r="44" spans="1:13" s="474" customFormat="1" ht="34.5" customHeight="1">
      <c r="A44" s="342"/>
      <c r="B44" s="375"/>
      <c r="C44" s="129">
        <v>2820</v>
      </c>
      <c r="D44" s="644" t="s">
        <v>128</v>
      </c>
      <c r="E44" s="645"/>
      <c r="F44" s="348">
        <v>0</v>
      </c>
      <c r="G44" s="348">
        <v>8400</v>
      </c>
      <c r="H44" s="137">
        <v>8400</v>
      </c>
      <c r="I44" s="137">
        <v>0</v>
      </c>
      <c r="J44" s="137">
        <v>0</v>
      </c>
      <c r="K44" s="137">
        <v>8400</v>
      </c>
      <c r="L44" s="137">
        <v>0</v>
      </c>
      <c r="M44" s="137">
        <v>0</v>
      </c>
    </row>
    <row r="45" spans="1:13" s="474" customFormat="1" ht="35.25" customHeight="1">
      <c r="A45" s="259">
        <v>754</v>
      </c>
      <c r="B45" s="259">
        <v>75411</v>
      </c>
      <c r="C45" s="127">
        <v>6300</v>
      </c>
      <c r="D45" s="646" t="s">
        <v>378</v>
      </c>
      <c r="E45" s="647"/>
      <c r="F45" s="349">
        <v>150000</v>
      </c>
      <c r="G45" s="349"/>
      <c r="H45" s="133"/>
      <c r="I45" s="134"/>
      <c r="J45" s="135"/>
      <c r="K45" s="135"/>
      <c r="L45" s="135"/>
      <c r="M45" s="134"/>
    </row>
    <row r="46" spans="1:13" s="474" customFormat="1" ht="16.5" customHeight="1">
      <c r="A46" s="342"/>
      <c r="B46" s="342"/>
      <c r="C46" s="375"/>
      <c r="D46" s="140" t="s">
        <v>367</v>
      </c>
      <c r="E46" s="141" t="s">
        <v>379</v>
      </c>
      <c r="F46" s="349"/>
      <c r="G46" s="349"/>
      <c r="H46" s="133"/>
      <c r="I46" s="134"/>
      <c r="J46" s="135"/>
      <c r="K46" s="135"/>
      <c r="L46" s="135"/>
      <c r="M46" s="134"/>
    </row>
    <row r="47" spans="1:13" s="474" customFormat="1" ht="16.5" customHeight="1">
      <c r="A47" s="343"/>
      <c r="B47" s="343"/>
      <c r="C47" s="128"/>
      <c r="D47" s="140" t="s">
        <v>367</v>
      </c>
      <c r="E47" s="141" t="s">
        <v>305</v>
      </c>
      <c r="F47" s="349"/>
      <c r="G47" s="349"/>
      <c r="H47" s="133"/>
      <c r="I47" s="134"/>
      <c r="J47" s="135"/>
      <c r="K47" s="135"/>
      <c r="L47" s="135"/>
      <c r="M47" s="135"/>
    </row>
    <row r="48" spans="1:13" ht="21.75" customHeight="1">
      <c r="A48" s="128"/>
      <c r="B48" s="128"/>
      <c r="C48" s="128">
        <v>6060</v>
      </c>
      <c r="D48" s="627" t="s">
        <v>123</v>
      </c>
      <c r="E48" s="628"/>
      <c r="F48" s="450"/>
      <c r="G48" s="450">
        <v>150000</v>
      </c>
      <c r="H48" s="448">
        <v>0</v>
      </c>
      <c r="I48" s="139">
        <v>0</v>
      </c>
      <c r="J48" s="449">
        <v>0</v>
      </c>
      <c r="K48" s="139">
        <v>0</v>
      </c>
      <c r="L48" s="449">
        <v>150000</v>
      </c>
      <c r="M48" s="449">
        <v>0</v>
      </c>
    </row>
    <row r="49" spans="1:13" ht="55.5" customHeight="1">
      <c r="A49" s="132">
        <v>801</v>
      </c>
      <c r="B49" s="132">
        <v>80195</v>
      </c>
      <c r="C49" s="132">
        <v>2710</v>
      </c>
      <c r="D49" s="627" t="s">
        <v>16</v>
      </c>
      <c r="E49" s="628"/>
      <c r="F49" s="345">
        <v>13500</v>
      </c>
      <c r="G49" s="450"/>
      <c r="H49" s="448"/>
      <c r="I49" s="139"/>
      <c r="J49" s="449"/>
      <c r="K49" s="449"/>
      <c r="L49" s="449"/>
      <c r="M49" s="449"/>
    </row>
    <row r="50" spans="1:13" ht="15.75" customHeight="1">
      <c r="A50" s="375"/>
      <c r="B50" s="375"/>
      <c r="C50" s="500">
        <v>4110</v>
      </c>
      <c r="D50" s="631" t="s">
        <v>115</v>
      </c>
      <c r="E50" s="632"/>
      <c r="F50" s="445"/>
      <c r="G50" s="502">
        <v>800</v>
      </c>
      <c r="H50" s="501">
        <v>800</v>
      </c>
      <c r="I50" s="139"/>
      <c r="J50" s="139">
        <f>SUM(H50)</f>
        <v>800</v>
      </c>
      <c r="K50" s="139"/>
      <c r="L50" s="139"/>
      <c r="M50" s="139"/>
    </row>
    <row r="51" spans="1:13" ht="15.75" customHeight="1">
      <c r="A51" s="375"/>
      <c r="B51" s="375"/>
      <c r="C51" s="500">
        <v>4120</v>
      </c>
      <c r="D51" s="631" t="s">
        <v>116</v>
      </c>
      <c r="E51" s="632"/>
      <c r="F51" s="365"/>
      <c r="G51" s="502">
        <v>200</v>
      </c>
      <c r="H51" s="501">
        <v>200</v>
      </c>
      <c r="I51" s="139"/>
      <c r="J51" s="139">
        <f>SUM(H51)</f>
        <v>200</v>
      </c>
      <c r="K51" s="139"/>
      <c r="L51" s="139"/>
      <c r="M51" s="139"/>
    </row>
    <row r="52" spans="1:13" ht="15.75" customHeight="1">
      <c r="A52" s="375"/>
      <c r="B52" s="375"/>
      <c r="C52" s="389">
        <v>4170</v>
      </c>
      <c r="D52" s="631" t="s">
        <v>117</v>
      </c>
      <c r="E52" s="632"/>
      <c r="F52" s="365"/>
      <c r="G52" s="502">
        <v>7500</v>
      </c>
      <c r="H52" s="501">
        <v>7500</v>
      </c>
      <c r="I52" s="139">
        <f>SUM(H52)</f>
        <v>7500</v>
      </c>
      <c r="J52" s="139"/>
      <c r="K52" s="139"/>
      <c r="L52" s="139"/>
      <c r="M52" s="139"/>
    </row>
    <row r="53" spans="1:13" ht="15.75" customHeight="1">
      <c r="A53" s="375"/>
      <c r="B53" s="375"/>
      <c r="C53" s="389">
        <v>4210</v>
      </c>
      <c r="D53" s="631" t="s">
        <v>119</v>
      </c>
      <c r="E53" s="632"/>
      <c r="F53" s="365"/>
      <c r="G53" s="502">
        <v>2000</v>
      </c>
      <c r="H53" s="501">
        <v>2000</v>
      </c>
      <c r="I53" s="139"/>
      <c r="J53" s="139"/>
      <c r="K53" s="139"/>
      <c r="L53" s="139"/>
      <c r="M53" s="139"/>
    </row>
    <row r="54" spans="1:13" ht="15.75" customHeight="1">
      <c r="A54" s="375"/>
      <c r="B54" s="375"/>
      <c r="C54" s="389">
        <v>4220</v>
      </c>
      <c r="D54" s="631" t="s">
        <v>122</v>
      </c>
      <c r="E54" s="632"/>
      <c r="F54" s="365"/>
      <c r="G54" s="502">
        <v>1000</v>
      </c>
      <c r="H54" s="501">
        <v>1000</v>
      </c>
      <c r="I54" s="139"/>
      <c r="J54" s="139"/>
      <c r="K54" s="139"/>
      <c r="L54" s="139"/>
      <c r="M54" s="139"/>
    </row>
    <row r="55" spans="1:13" ht="15.75" customHeight="1">
      <c r="A55" s="375"/>
      <c r="B55" s="375"/>
      <c r="C55" s="389">
        <v>4270</v>
      </c>
      <c r="D55" s="631" t="s">
        <v>143</v>
      </c>
      <c r="E55" s="632"/>
      <c r="F55" s="348"/>
      <c r="G55" s="502">
        <v>2000</v>
      </c>
      <c r="H55" s="501">
        <v>2000</v>
      </c>
      <c r="I55" s="139"/>
      <c r="J55" s="139"/>
      <c r="K55" s="139"/>
      <c r="L55" s="139"/>
      <c r="M55" s="139"/>
    </row>
    <row r="56" spans="1:13" ht="33.75" customHeight="1">
      <c r="A56" s="127">
        <v>852</v>
      </c>
      <c r="B56" s="127">
        <v>85201</v>
      </c>
      <c r="C56" s="127">
        <v>2310</v>
      </c>
      <c r="D56" s="657" t="s">
        <v>271</v>
      </c>
      <c r="E56" s="647"/>
      <c r="F56" s="349">
        <v>31672</v>
      </c>
      <c r="G56" s="345" t="s">
        <v>433</v>
      </c>
      <c r="H56" s="83" t="s">
        <v>433</v>
      </c>
      <c r="I56" s="84" t="s">
        <v>433</v>
      </c>
      <c r="J56" s="85" t="s">
        <v>433</v>
      </c>
      <c r="K56" s="85" t="s">
        <v>433</v>
      </c>
      <c r="L56" s="85" t="s">
        <v>433</v>
      </c>
      <c r="M56" s="84" t="s">
        <v>433</v>
      </c>
    </row>
    <row r="57" spans="1:13" ht="12.75">
      <c r="A57" s="128"/>
      <c r="B57" s="128"/>
      <c r="C57" s="128"/>
      <c r="D57" s="215">
        <v>1</v>
      </c>
      <c r="E57" s="141" t="s">
        <v>179</v>
      </c>
      <c r="F57" s="347"/>
      <c r="G57" s="347"/>
      <c r="H57" s="136"/>
      <c r="I57" s="137"/>
      <c r="J57" s="138"/>
      <c r="K57" s="138"/>
      <c r="L57" s="138"/>
      <c r="M57" s="462"/>
    </row>
    <row r="58" spans="1:13" ht="12.75" customHeight="1">
      <c r="A58" s="132"/>
      <c r="B58" s="132"/>
      <c r="C58" s="132">
        <v>4010</v>
      </c>
      <c r="D58" s="627" t="s">
        <v>145</v>
      </c>
      <c r="E58" s="628"/>
      <c r="F58" s="450" t="s">
        <v>433</v>
      </c>
      <c r="G58" s="450">
        <v>31672</v>
      </c>
      <c r="H58" s="448">
        <v>31672</v>
      </c>
      <c r="I58" s="139">
        <v>31672</v>
      </c>
      <c r="J58" s="449">
        <v>0</v>
      </c>
      <c r="K58" s="139">
        <v>0</v>
      </c>
      <c r="L58" s="449">
        <v>0</v>
      </c>
      <c r="M58" s="449">
        <v>0</v>
      </c>
    </row>
    <row r="59" spans="1:13" ht="34.5" customHeight="1">
      <c r="A59" s="652">
        <v>852</v>
      </c>
      <c r="B59" s="652">
        <v>85201</v>
      </c>
      <c r="C59" s="652">
        <v>2310</v>
      </c>
      <c r="D59" s="661" t="s">
        <v>109</v>
      </c>
      <c r="E59" s="662"/>
      <c r="F59" s="345" t="s">
        <v>433</v>
      </c>
      <c r="G59" s="345">
        <v>9760</v>
      </c>
      <c r="H59" s="83">
        <v>9760</v>
      </c>
      <c r="I59" s="84">
        <v>0</v>
      </c>
      <c r="J59" s="85">
        <v>0</v>
      </c>
      <c r="K59" s="85">
        <v>9760</v>
      </c>
      <c r="L59" s="84">
        <v>0</v>
      </c>
      <c r="M59" s="85">
        <v>0</v>
      </c>
    </row>
    <row r="60" spans="1:13" ht="16.5" customHeight="1">
      <c r="A60" s="660"/>
      <c r="B60" s="660"/>
      <c r="C60" s="660"/>
      <c r="D60" s="216">
        <v>1</v>
      </c>
      <c r="E60" s="217" t="s">
        <v>166</v>
      </c>
      <c r="F60" s="395"/>
      <c r="G60" s="395"/>
      <c r="H60" s="136"/>
      <c r="I60" s="137"/>
      <c r="J60" s="138"/>
      <c r="K60" s="138"/>
      <c r="L60" s="137"/>
      <c r="M60" s="463"/>
    </row>
    <row r="61" spans="1:13" ht="34.5" customHeight="1">
      <c r="A61" s="652">
        <v>852</v>
      </c>
      <c r="B61" s="652">
        <v>85201</v>
      </c>
      <c r="C61" s="652">
        <v>2310</v>
      </c>
      <c r="D61" s="661" t="s">
        <v>110</v>
      </c>
      <c r="E61" s="662"/>
      <c r="F61" s="345" t="s">
        <v>433</v>
      </c>
      <c r="G61" s="345">
        <v>11580</v>
      </c>
      <c r="H61" s="83">
        <v>11580</v>
      </c>
      <c r="I61" s="84">
        <v>0</v>
      </c>
      <c r="J61" s="85">
        <v>0</v>
      </c>
      <c r="K61" s="85">
        <v>11580</v>
      </c>
      <c r="L61" s="84">
        <v>0</v>
      </c>
      <c r="M61" s="85">
        <v>0</v>
      </c>
    </row>
    <row r="62" spans="1:13" ht="13.5" customHeight="1">
      <c r="A62" s="660"/>
      <c r="B62" s="660"/>
      <c r="C62" s="660"/>
      <c r="D62" s="211">
        <v>1</v>
      </c>
      <c r="E62" s="212" t="s">
        <v>230</v>
      </c>
      <c r="F62" s="347"/>
      <c r="G62" s="347"/>
      <c r="H62" s="89"/>
      <c r="I62" s="90"/>
      <c r="J62" s="91"/>
      <c r="K62" s="91"/>
      <c r="L62" s="90"/>
      <c r="M62" s="463"/>
    </row>
    <row r="63" spans="1:13" ht="55.5" customHeight="1">
      <c r="A63" s="132">
        <v>852</v>
      </c>
      <c r="B63" s="132">
        <v>85201</v>
      </c>
      <c r="C63" s="132">
        <v>2320</v>
      </c>
      <c r="D63" s="657" t="s">
        <v>274</v>
      </c>
      <c r="E63" s="659"/>
      <c r="F63" s="350"/>
      <c r="G63" s="348">
        <f>933906-27497-13803</f>
        <v>892606</v>
      </c>
      <c r="H63" s="137">
        <f>SUM(K63)</f>
        <v>892606</v>
      </c>
      <c r="I63" s="137">
        <v>0</v>
      </c>
      <c r="J63" s="137">
        <v>0</v>
      </c>
      <c r="K63" s="137">
        <f>933906-27497-13803</f>
        <v>892606</v>
      </c>
      <c r="L63" s="137">
        <v>0</v>
      </c>
      <c r="M63" s="137">
        <v>0</v>
      </c>
    </row>
    <row r="64" spans="1:13" ht="35.25" customHeight="1">
      <c r="A64" s="132">
        <v>852</v>
      </c>
      <c r="B64" s="132">
        <v>85204</v>
      </c>
      <c r="C64" s="132">
        <v>2310</v>
      </c>
      <c r="D64" s="657" t="s">
        <v>44</v>
      </c>
      <c r="E64" s="659"/>
      <c r="F64" s="330" t="s">
        <v>433</v>
      </c>
      <c r="G64" s="209">
        <v>10470</v>
      </c>
      <c r="H64" s="139">
        <v>10470</v>
      </c>
      <c r="I64" s="139">
        <v>0</v>
      </c>
      <c r="J64" s="139">
        <v>0</v>
      </c>
      <c r="K64" s="139">
        <v>10470</v>
      </c>
      <c r="L64" s="139">
        <v>0</v>
      </c>
      <c r="M64" s="139">
        <v>0</v>
      </c>
    </row>
    <row r="65" spans="1:13" ht="33" customHeight="1">
      <c r="A65" s="652">
        <v>852</v>
      </c>
      <c r="B65" s="652">
        <v>85204</v>
      </c>
      <c r="C65" s="652">
        <v>2320</v>
      </c>
      <c r="D65" s="661" t="s">
        <v>288</v>
      </c>
      <c r="E65" s="662"/>
      <c r="F65" s="344" t="s">
        <v>433</v>
      </c>
      <c r="G65" s="345">
        <f>73280+27497+13803</f>
        <v>114580</v>
      </c>
      <c r="H65" s="83">
        <v>114580</v>
      </c>
      <c r="I65" s="84">
        <v>0</v>
      </c>
      <c r="J65" s="85">
        <v>0</v>
      </c>
      <c r="K65" s="85">
        <v>114580</v>
      </c>
      <c r="L65" s="85">
        <v>0</v>
      </c>
      <c r="M65" s="464">
        <v>0</v>
      </c>
    </row>
    <row r="66" spans="1:13" ht="12" customHeight="1">
      <c r="A66" s="653"/>
      <c r="B66" s="653"/>
      <c r="C66" s="653"/>
      <c r="D66" s="213">
        <v>1</v>
      </c>
      <c r="E66" s="214" t="s">
        <v>167</v>
      </c>
      <c r="F66" s="346"/>
      <c r="G66" s="351"/>
      <c r="H66" s="86"/>
      <c r="I66" s="87"/>
      <c r="J66" s="88"/>
      <c r="K66" s="88"/>
      <c r="L66" s="88"/>
      <c r="M66" s="465"/>
    </row>
    <row r="67" spans="1:13" ht="12" customHeight="1">
      <c r="A67" s="653"/>
      <c r="B67" s="653"/>
      <c r="C67" s="653"/>
      <c r="D67" s="213">
        <v>2</v>
      </c>
      <c r="E67" s="214" t="s">
        <v>170</v>
      </c>
      <c r="F67" s="346"/>
      <c r="G67" s="351"/>
      <c r="H67" s="86"/>
      <c r="I67" s="87"/>
      <c r="J67" s="88"/>
      <c r="K67" s="88"/>
      <c r="L67" s="88"/>
      <c r="M67" s="465"/>
    </row>
    <row r="68" spans="1:13" ht="12" customHeight="1">
      <c r="A68" s="653"/>
      <c r="B68" s="653"/>
      <c r="C68" s="653"/>
      <c r="D68" s="213">
        <v>3</v>
      </c>
      <c r="E68" s="214" t="s">
        <v>169</v>
      </c>
      <c r="F68" s="346"/>
      <c r="G68" s="351"/>
      <c r="H68" s="86"/>
      <c r="I68" s="87"/>
      <c r="J68" s="88"/>
      <c r="K68" s="88"/>
      <c r="L68" s="88"/>
      <c r="M68" s="465"/>
    </row>
    <row r="69" spans="1:13" ht="12" customHeight="1">
      <c r="A69" s="653"/>
      <c r="B69" s="653"/>
      <c r="C69" s="653"/>
      <c r="D69" s="213">
        <v>4</v>
      </c>
      <c r="E69" s="214" t="s">
        <v>111</v>
      </c>
      <c r="F69" s="346"/>
      <c r="G69" s="351"/>
      <c r="H69" s="86"/>
      <c r="I69" s="87"/>
      <c r="J69" s="88"/>
      <c r="K69" s="88"/>
      <c r="L69" s="88"/>
      <c r="M69" s="465"/>
    </row>
    <row r="70" spans="1:13" ht="12" customHeight="1">
      <c r="A70" s="653"/>
      <c r="B70" s="653"/>
      <c r="C70" s="653"/>
      <c r="D70" s="213">
        <v>5</v>
      </c>
      <c r="E70" s="214" t="s">
        <v>182</v>
      </c>
      <c r="F70" s="346"/>
      <c r="G70" s="351"/>
      <c r="H70" s="86"/>
      <c r="I70" s="87"/>
      <c r="J70" s="88"/>
      <c r="K70" s="88"/>
      <c r="L70" s="88"/>
      <c r="M70" s="465"/>
    </row>
    <row r="71" spans="1:13" ht="12" customHeight="1">
      <c r="A71" s="653"/>
      <c r="B71" s="653"/>
      <c r="C71" s="653"/>
      <c r="D71" s="213">
        <v>6</v>
      </c>
      <c r="E71" s="214" t="s">
        <v>15</v>
      </c>
      <c r="F71" s="346"/>
      <c r="G71" s="351"/>
      <c r="H71" s="86"/>
      <c r="I71" s="87"/>
      <c r="J71" s="88"/>
      <c r="K71" s="88"/>
      <c r="L71" s="88"/>
      <c r="M71" s="465"/>
    </row>
    <row r="72" spans="1:13" ht="12" customHeight="1">
      <c r="A72" s="660"/>
      <c r="B72" s="660"/>
      <c r="C72" s="660"/>
      <c r="D72" s="213">
        <v>7</v>
      </c>
      <c r="E72" s="214" t="s">
        <v>168</v>
      </c>
      <c r="F72" s="347"/>
      <c r="G72" s="352"/>
      <c r="H72" s="89"/>
      <c r="I72" s="90"/>
      <c r="J72" s="91"/>
      <c r="K72" s="91"/>
      <c r="L72" s="91"/>
      <c r="M72" s="462"/>
    </row>
    <row r="73" spans="1:13" ht="23.25" customHeight="1">
      <c r="A73" s="652">
        <v>852</v>
      </c>
      <c r="B73" s="652">
        <v>85204</v>
      </c>
      <c r="C73" s="652">
        <v>2310</v>
      </c>
      <c r="D73" s="657" t="s">
        <v>272</v>
      </c>
      <c r="E73" s="658"/>
      <c r="F73" s="345">
        <v>4165</v>
      </c>
      <c r="G73" s="345" t="s">
        <v>433</v>
      </c>
      <c r="H73" s="453" t="s">
        <v>433</v>
      </c>
      <c r="I73" s="454" t="s">
        <v>433</v>
      </c>
      <c r="J73" s="455" t="s">
        <v>433</v>
      </c>
      <c r="K73" s="455" t="s">
        <v>433</v>
      </c>
      <c r="L73" s="455" t="s">
        <v>433</v>
      </c>
      <c r="M73" s="454" t="s">
        <v>433</v>
      </c>
    </row>
    <row r="74" spans="1:13" ht="12.75">
      <c r="A74" s="653"/>
      <c r="B74" s="653"/>
      <c r="C74" s="653"/>
      <c r="D74" s="451">
        <v>1</v>
      </c>
      <c r="E74" s="452" t="s">
        <v>175</v>
      </c>
      <c r="F74" s="346"/>
      <c r="G74" s="346"/>
      <c r="H74" s="133"/>
      <c r="I74" s="134"/>
      <c r="J74" s="135"/>
      <c r="K74" s="135"/>
      <c r="L74" s="135"/>
      <c r="M74" s="462"/>
    </row>
    <row r="75" spans="1:13" ht="12.75">
      <c r="A75" s="375"/>
      <c r="B75" s="375"/>
      <c r="C75" s="132">
        <v>3110</v>
      </c>
      <c r="D75" s="627" t="s">
        <v>146</v>
      </c>
      <c r="E75" s="628"/>
      <c r="F75" s="450" t="s">
        <v>433</v>
      </c>
      <c r="G75" s="450">
        <v>4165</v>
      </c>
      <c r="H75" s="448">
        <v>4165</v>
      </c>
      <c r="I75" s="139">
        <v>0</v>
      </c>
      <c r="J75" s="449">
        <v>0</v>
      </c>
      <c r="K75" s="449">
        <v>0</v>
      </c>
      <c r="L75" s="449">
        <v>0</v>
      </c>
      <c r="M75" s="449">
        <v>0</v>
      </c>
    </row>
    <row r="76" spans="1:13" ht="23.25" customHeight="1">
      <c r="A76" s="650">
        <v>852</v>
      </c>
      <c r="B76" s="652">
        <v>85204</v>
      </c>
      <c r="C76" s="654">
        <v>2320</v>
      </c>
      <c r="D76" s="657" t="s">
        <v>272</v>
      </c>
      <c r="E76" s="658"/>
      <c r="F76" s="345">
        <v>127548</v>
      </c>
      <c r="G76" s="345" t="s">
        <v>433</v>
      </c>
      <c r="H76" s="453" t="s">
        <v>433</v>
      </c>
      <c r="I76" s="454" t="s">
        <v>433</v>
      </c>
      <c r="J76" s="455" t="s">
        <v>433</v>
      </c>
      <c r="K76" s="455" t="s">
        <v>433</v>
      </c>
      <c r="L76" s="455" t="s">
        <v>433</v>
      </c>
      <c r="M76" s="454" t="s">
        <v>433</v>
      </c>
    </row>
    <row r="77" spans="1:13" ht="12" customHeight="1">
      <c r="A77" s="651"/>
      <c r="B77" s="653"/>
      <c r="C77" s="655"/>
      <c r="D77" s="140">
        <v>1</v>
      </c>
      <c r="E77" s="141" t="s">
        <v>273</v>
      </c>
      <c r="F77" s="346"/>
      <c r="G77" s="353"/>
      <c r="H77" s="86"/>
      <c r="I77" s="87"/>
      <c r="J77" s="88"/>
      <c r="K77" s="88"/>
      <c r="L77" s="88"/>
      <c r="M77" s="465"/>
    </row>
    <row r="78" spans="1:13" ht="12" customHeight="1">
      <c r="A78" s="651"/>
      <c r="B78" s="653"/>
      <c r="C78" s="655"/>
      <c r="D78" s="140">
        <v>2</v>
      </c>
      <c r="E78" s="141" t="s">
        <v>176</v>
      </c>
      <c r="F78" s="346"/>
      <c r="G78" s="353"/>
      <c r="H78" s="86"/>
      <c r="I78" s="87"/>
      <c r="J78" s="88"/>
      <c r="K78" s="88"/>
      <c r="L78" s="88"/>
      <c r="M78" s="465"/>
    </row>
    <row r="79" spans="1:13" ht="12" customHeight="1">
      <c r="A79" s="651"/>
      <c r="B79" s="653"/>
      <c r="C79" s="655"/>
      <c r="D79" s="140">
        <v>3</v>
      </c>
      <c r="E79" s="141" t="s">
        <v>178</v>
      </c>
      <c r="F79" s="346"/>
      <c r="G79" s="353"/>
      <c r="H79" s="86"/>
      <c r="I79" s="87"/>
      <c r="J79" s="88"/>
      <c r="K79" s="88"/>
      <c r="L79" s="88"/>
      <c r="M79" s="465"/>
    </row>
    <row r="80" spans="1:13" ht="12" customHeight="1">
      <c r="A80" s="651"/>
      <c r="B80" s="653"/>
      <c r="C80" s="656"/>
      <c r="D80" s="140">
        <v>4</v>
      </c>
      <c r="E80" s="141" t="s">
        <v>177</v>
      </c>
      <c r="F80" s="347"/>
      <c r="G80" s="354"/>
      <c r="H80" s="89"/>
      <c r="I80" s="90"/>
      <c r="J80" s="91"/>
      <c r="K80" s="91"/>
      <c r="L80" s="91"/>
      <c r="M80" s="462"/>
    </row>
    <row r="81" spans="1:13" ht="18" customHeight="1">
      <c r="A81" s="343"/>
      <c r="B81" s="128"/>
      <c r="C81" s="341">
        <v>3110</v>
      </c>
      <c r="D81" s="627" t="s">
        <v>146</v>
      </c>
      <c r="E81" s="628"/>
      <c r="F81" s="450" t="s">
        <v>433</v>
      </c>
      <c r="G81" s="450">
        <v>127548</v>
      </c>
      <c r="H81" s="448">
        <v>127548</v>
      </c>
      <c r="I81" s="139">
        <v>0</v>
      </c>
      <c r="J81" s="449">
        <v>0</v>
      </c>
      <c r="K81" s="449">
        <v>0</v>
      </c>
      <c r="L81" s="449">
        <v>0</v>
      </c>
      <c r="M81" s="449">
        <v>0</v>
      </c>
    </row>
    <row r="82" spans="1:13" ht="45" customHeight="1">
      <c r="A82" s="342">
        <v>854</v>
      </c>
      <c r="B82" s="259">
        <v>85407</v>
      </c>
      <c r="C82" s="129">
        <v>2710</v>
      </c>
      <c r="D82" s="629" t="s">
        <v>306</v>
      </c>
      <c r="E82" s="630"/>
      <c r="F82" s="209">
        <v>36800</v>
      </c>
      <c r="G82" s="209" t="s">
        <v>433</v>
      </c>
      <c r="H82" s="209" t="s">
        <v>433</v>
      </c>
      <c r="I82" s="209" t="s">
        <v>433</v>
      </c>
      <c r="J82" s="209" t="s">
        <v>433</v>
      </c>
      <c r="K82" s="209" t="s">
        <v>433</v>
      </c>
      <c r="L82" s="209" t="s">
        <v>433</v>
      </c>
      <c r="M82" s="209" t="s">
        <v>433</v>
      </c>
    </row>
    <row r="83" spans="1:13" ht="18" customHeight="1">
      <c r="A83" s="342"/>
      <c r="B83" s="342"/>
      <c r="C83" s="143"/>
      <c r="D83" s="491" t="s">
        <v>367</v>
      </c>
      <c r="E83" s="492" t="s">
        <v>309</v>
      </c>
      <c r="F83" s="330"/>
      <c r="G83" s="330"/>
      <c r="H83" s="479"/>
      <c r="I83" s="479"/>
      <c r="J83" s="479"/>
      <c r="K83" s="479"/>
      <c r="L83" s="479"/>
      <c r="M83" s="480"/>
    </row>
    <row r="84" spans="1:13" ht="14.25" customHeight="1">
      <c r="A84" s="342"/>
      <c r="B84" s="342"/>
      <c r="C84" s="132">
        <v>4210</v>
      </c>
      <c r="D84" s="627" t="s">
        <v>119</v>
      </c>
      <c r="E84" s="628"/>
      <c r="F84" s="395"/>
      <c r="G84" s="395">
        <v>5000</v>
      </c>
      <c r="H84" s="136">
        <v>5000</v>
      </c>
      <c r="I84" s="137"/>
      <c r="J84" s="138"/>
      <c r="K84" s="138"/>
      <c r="L84" s="138"/>
      <c r="M84" s="138"/>
    </row>
    <row r="85" spans="1:13" ht="14.25" customHeight="1">
      <c r="A85" s="342"/>
      <c r="B85" s="342"/>
      <c r="C85" s="132">
        <v>4300</v>
      </c>
      <c r="D85" s="627" t="s">
        <v>114</v>
      </c>
      <c r="E85" s="628"/>
      <c r="F85" s="395"/>
      <c r="G85" s="395">
        <f>23800+2000</f>
        <v>25800</v>
      </c>
      <c r="H85" s="136">
        <v>25800</v>
      </c>
      <c r="I85" s="137"/>
      <c r="J85" s="138"/>
      <c r="K85" s="138"/>
      <c r="L85" s="138"/>
      <c r="M85" s="138"/>
    </row>
    <row r="86" spans="1:13" ht="14.25" customHeight="1">
      <c r="A86" s="343"/>
      <c r="B86" s="343"/>
      <c r="C86" s="132">
        <v>4430</v>
      </c>
      <c r="D86" s="627" t="s">
        <v>118</v>
      </c>
      <c r="E86" s="628"/>
      <c r="F86" s="395"/>
      <c r="G86" s="395">
        <f>3000+3000</f>
        <v>6000</v>
      </c>
      <c r="H86" s="136">
        <v>6000</v>
      </c>
      <c r="I86" s="137"/>
      <c r="J86" s="138"/>
      <c r="K86" s="138"/>
      <c r="L86" s="138"/>
      <c r="M86" s="138"/>
    </row>
    <row r="87" spans="1:13" ht="42" customHeight="1">
      <c r="A87" s="128">
        <v>921</v>
      </c>
      <c r="B87" s="128">
        <v>92116</v>
      </c>
      <c r="C87" s="128">
        <v>2310</v>
      </c>
      <c r="D87" s="648" t="s">
        <v>24</v>
      </c>
      <c r="E87" s="648"/>
      <c r="F87" s="355" t="s">
        <v>433</v>
      </c>
      <c r="G87" s="356">
        <v>54000</v>
      </c>
      <c r="H87" s="137">
        <v>54000</v>
      </c>
      <c r="I87" s="137">
        <v>0</v>
      </c>
      <c r="J87" s="137">
        <v>0</v>
      </c>
      <c r="K87" s="137">
        <v>54000</v>
      </c>
      <c r="L87" s="137">
        <v>0</v>
      </c>
      <c r="M87" s="137">
        <v>0</v>
      </c>
    </row>
    <row r="88" spans="1:13" ht="15.75">
      <c r="A88" s="649" t="s">
        <v>430</v>
      </c>
      <c r="B88" s="649"/>
      <c r="C88" s="649"/>
      <c r="D88" s="649"/>
      <c r="E88" s="649"/>
      <c r="F88" s="126">
        <f>SUM(F12:F87)</f>
        <v>5025018</v>
      </c>
      <c r="G88" s="126">
        <f>SUM(G12:G87)</f>
        <v>6304284</v>
      </c>
      <c r="H88" s="126">
        <f aca="true" t="shared" si="0" ref="H88:M88">SUM(H12:H87)</f>
        <v>2290071</v>
      </c>
      <c r="I88" s="126">
        <f t="shared" si="0"/>
        <v>39172</v>
      </c>
      <c r="J88" s="126">
        <f t="shared" si="0"/>
        <v>1000</v>
      </c>
      <c r="K88" s="126">
        <f t="shared" si="0"/>
        <v>1256396</v>
      </c>
      <c r="L88" s="126">
        <f t="shared" si="0"/>
        <v>4014213</v>
      </c>
      <c r="M88" s="126">
        <f t="shared" si="0"/>
        <v>101270</v>
      </c>
    </row>
  </sheetData>
  <mergeCells count="89">
    <mergeCell ref="D14:E14"/>
    <mergeCell ref="D73:E73"/>
    <mergeCell ref="D15:E15"/>
    <mergeCell ref="D16:E16"/>
    <mergeCell ref="D17:E17"/>
    <mergeCell ref="D39:E39"/>
    <mergeCell ref="D36:E36"/>
    <mergeCell ref="D32:E32"/>
    <mergeCell ref="D22:E22"/>
    <mergeCell ref="D65:E65"/>
    <mergeCell ref="D13:E13"/>
    <mergeCell ref="D8:E10"/>
    <mergeCell ref="F8:F10"/>
    <mergeCell ref="G8:G10"/>
    <mergeCell ref="B9:B10"/>
    <mergeCell ref="H9:H10"/>
    <mergeCell ref="D11:E11"/>
    <mergeCell ref="D12:E12"/>
    <mergeCell ref="C65:C72"/>
    <mergeCell ref="A8:C8"/>
    <mergeCell ref="A5:L5"/>
    <mergeCell ref="A6:L6"/>
    <mergeCell ref="A12:A17"/>
    <mergeCell ref="B12:B17"/>
    <mergeCell ref="C12:C17"/>
    <mergeCell ref="I9:K9"/>
    <mergeCell ref="L9:L10"/>
    <mergeCell ref="A9:A10"/>
    <mergeCell ref="D26:E26"/>
    <mergeCell ref="C9:C10"/>
    <mergeCell ref="A73:A74"/>
    <mergeCell ref="B73:B74"/>
    <mergeCell ref="C73:C74"/>
    <mergeCell ref="A59:A60"/>
    <mergeCell ref="B59:B60"/>
    <mergeCell ref="C59:C60"/>
    <mergeCell ref="A65:A72"/>
    <mergeCell ref="B65:B72"/>
    <mergeCell ref="F19:F20"/>
    <mergeCell ref="D18:E18"/>
    <mergeCell ref="A61:A62"/>
    <mergeCell ref="B61:B62"/>
    <mergeCell ref="C61:C62"/>
    <mergeCell ref="D61:E61"/>
    <mergeCell ref="D59:E59"/>
    <mergeCell ref="D27:E27"/>
    <mergeCell ref="D21:E21"/>
    <mergeCell ref="D56:E56"/>
    <mergeCell ref="D45:E45"/>
    <mergeCell ref="L19:L20"/>
    <mergeCell ref="D87:E87"/>
    <mergeCell ref="A88:E88"/>
    <mergeCell ref="A76:A80"/>
    <mergeCell ref="B76:B80"/>
    <mergeCell ref="C76:C80"/>
    <mergeCell ref="D76:E76"/>
    <mergeCell ref="D63:E63"/>
    <mergeCell ref="D64:E64"/>
    <mergeCell ref="D40:E40"/>
    <mergeCell ref="D44:E44"/>
    <mergeCell ref="D75:E75"/>
    <mergeCell ref="K19:K20"/>
    <mergeCell ref="G19:G20"/>
    <mergeCell ref="H19:H20"/>
    <mergeCell ref="H23:H25"/>
    <mergeCell ref="I23:I25"/>
    <mergeCell ref="I19:I20"/>
    <mergeCell ref="J19:J20"/>
    <mergeCell ref="D86:E86"/>
    <mergeCell ref="D48:E48"/>
    <mergeCell ref="D81:E81"/>
    <mergeCell ref="H8:M8"/>
    <mergeCell ref="J23:J25"/>
    <mergeCell ref="K23:K25"/>
    <mergeCell ref="L23:L25"/>
    <mergeCell ref="D31:E31"/>
    <mergeCell ref="F23:F25"/>
    <mergeCell ref="G23:G25"/>
    <mergeCell ref="D85:E85"/>
    <mergeCell ref="D58:E58"/>
    <mergeCell ref="D55:E55"/>
    <mergeCell ref="D52:E52"/>
    <mergeCell ref="D53:E53"/>
    <mergeCell ref="D54:E54"/>
    <mergeCell ref="D49:E49"/>
    <mergeCell ref="D82:E82"/>
    <mergeCell ref="D84:E84"/>
    <mergeCell ref="D50:E50"/>
    <mergeCell ref="D51:E51"/>
  </mergeCells>
  <printOptions/>
  <pageMargins left="0.53" right="0.55" top="1.06" bottom="0.75" header="0.21" footer="0.17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>
    <tabColor indexed="14"/>
  </sheetPr>
  <dimension ref="A1:J52"/>
  <sheetViews>
    <sheetView workbookViewId="0" topLeftCell="A1">
      <selection activeCell="D10" sqref="D10"/>
    </sheetView>
  </sheetViews>
  <sheetFormatPr defaultColWidth="9.00390625" defaultRowHeight="12.75"/>
  <cols>
    <col min="1" max="1" width="5.25390625" style="1" customWidth="1"/>
    <col min="2" max="2" width="60.625" style="1" customWidth="1"/>
    <col min="3" max="3" width="17.75390625" style="1" customWidth="1"/>
    <col min="4" max="16384" width="9.125" style="1" customWidth="1"/>
  </cols>
  <sheetData>
    <row r="1" ht="12.75">
      <c r="C1" s="27" t="s">
        <v>85</v>
      </c>
    </row>
    <row r="2" ht="14.25">
      <c r="C2" s="38" t="s">
        <v>445</v>
      </c>
    </row>
    <row r="3" ht="14.25">
      <c r="C3" s="38" t="s">
        <v>125</v>
      </c>
    </row>
    <row r="4" ht="7.5" customHeight="1"/>
    <row r="5" spans="1:10" ht="15" customHeight="1">
      <c r="A5" s="682" t="s">
        <v>389</v>
      </c>
      <c r="B5" s="682"/>
      <c r="C5" s="682"/>
      <c r="D5" s="6"/>
      <c r="E5" s="6"/>
      <c r="F5" s="6"/>
      <c r="G5" s="6"/>
      <c r="H5" s="6"/>
      <c r="I5" s="6"/>
      <c r="J5" s="6"/>
    </row>
    <row r="6" spans="1:7" ht="16.5" customHeight="1">
      <c r="A6" s="682" t="s">
        <v>353</v>
      </c>
      <c r="B6" s="682"/>
      <c r="C6" s="682"/>
      <c r="D6" s="6"/>
      <c r="E6" s="6"/>
      <c r="F6" s="6"/>
      <c r="G6" s="6"/>
    </row>
    <row r="7" ht="6.75" customHeight="1"/>
    <row r="8" ht="13.5" thickBot="1">
      <c r="C8" s="11" t="s">
        <v>421</v>
      </c>
    </row>
    <row r="9" spans="1:10" s="113" customFormat="1" ht="19.5" customHeight="1" thickBot="1">
      <c r="A9" s="219" t="s">
        <v>364</v>
      </c>
      <c r="B9" s="219" t="s">
        <v>357</v>
      </c>
      <c r="C9" s="219" t="s">
        <v>180</v>
      </c>
      <c r="D9" s="115"/>
      <c r="E9" s="115"/>
      <c r="F9" s="115"/>
      <c r="G9" s="115"/>
      <c r="H9" s="115"/>
      <c r="I9" s="116"/>
      <c r="J9" s="116"/>
    </row>
    <row r="10" spans="1:10" s="114" customFormat="1" ht="19.5" customHeight="1" thickBot="1">
      <c r="A10" s="220" t="s">
        <v>366</v>
      </c>
      <c r="B10" s="221" t="s">
        <v>391</v>
      </c>
      <c r="C10" s="222">
        <f>SUM(C11:C12,-C13)</f>
        <v>541869</v>
      </c>
      <c r="D10" s="117"/>
      <c r="E10" s="117"/>
      <c r="F10" s="117"/>
      <c r="G10" s="117"/>
      <c r="H10" s="117"/>
      <c r="I10" s="118"/>
      <c r="J10" s="118"/>
    </row>
    <row r="11" spans="1:10" s="114" customFormat="1" ht="15" customHeight="1">
      <c r="A11" s="225" t="s">
        <v>367</v>
      </c>
      <c r="B11" s="226" t="s">
        <v>395</v>
      </c>
      <c r="C11" s="223">
        <v>541677</v>
      </c>
      <c r="D11" s="117"/>
      <c r="E11" s="117"/>
      <c r="F11" s="117"/>
      <c r="G11" s="117"/>
      <c r="H11" s="117"/>
      <c r="I11" s="118"/>
      <c r="J11" s="118"/>
    </row>
    <row r="12" spans="1:10" s="114" customFormat="1" ht="15" customHeight="1">
      <c r="A12" s="227" t="s">
        <v>368</v>
      </c>
      <c r="B12" s="228" t="s">
        <v>394</v>
      </c>
      <c r="C12" s="224">
        <v>34613</v>
      </c>
      <c r="D12" s="117"/>
      <c r="E12" s="117"/>
      <c r="F12" s="117"/>
      <c r="G12" s="117"/>
      <c r="H12" s="117"/>
      <c r="I12" s="118"/>
      <c r="J12" s="118"/>
    </row>
    <row r="13" spans="1:10" s="114" customFormat="1" ht="15" customHeight="1">
      <c r="A13" s="227" t="s">
        <v>369</v>
      </c>
      <c r="B13" s="228" t="s">
        <v>393</v>
      </c>
      <c r="C13" s="224">
        <v>34421</v>
      </c>
      <c r="D13" s="117"/>
      <c r="E13" s="117"/>
      <c r="F13" s="117"/>
      <c r="G13" s="117"/>
      <c r="H13" s="117"/>
      <c r="I13" s="118"/>
      <c r="J13" s="118"/>
    </row>
    <row r="14" spans="1:10" s="114" customFormat="1" ht="15" customHeight="1" thickBot="1">
      <c r="A14" s="227" t="s">
        <v>358</v>
      </c>
      <c r="B14" s="228" t="s">
        <v>83</v>
      </c>
      <c r="C14" s="223">
        <v>0</v>
      </c>
      <c r="D14" s="117"/>
      <c r="E14" s="117"/>
      <c r="F14" s="117"/>
      <c r="G14" s="117"/>
      <c r="H14" s="117"/>
      <c r="I14" s="118"/>
      <c r="J14" s="118"/>
    </row>
    <row r="15" spans="1:10" s="114" customFormat="1" ht="19.5" customHeight="1" thickBot="1">
      <c r="A15" s="230" t="s">
        <v>370</v>
      </c>
      <c r="B15" s="221" t="s">
        <v>365</v>
      </c>
      <c r="C15" s="222">
        <f>SUM(C16:C18)</f>
        <v>445000</v>
      </c>
      <c r="D15" s="117"/>
      <c r="E15" s="117"/>
      <c r="F15" s="117"/>
      <c r="G15" s="117"/>
      <c r="H15" s="117"/>
      <c r="I15" s="118"/>
      <c r="J15" s="118"/>
    </row>
    <row r="16" spans="1:10" s="114" customFormat="1" ht="19.5" customHeight="1">
      <c r="A16" s="518" t="s">
        <v>367</v>
      </c>
      <c r="B16" s="237" t="s">
        <v>422</v>
      </c>
      <c r="C16" s="517">
        <v>25000</v>
      </c>
      <c r="D16" s="117"/>
      <c r="E16" s="117"/>
      <c r="F16" s="117"/>
      <c r="G16" s="117"/>
      <c r="H16" s="117"/>
      <c r="I16" s="118"/>
      <c r="J16" s="118"/>
    </row>
    <row r="17" spans="1:10" s="114" customFormat="1" ht="19.5" customHeight="1">
      <c r="A17" s="518" t="s">
        <v>368</v>
      </c>
      <c r="B17" s="237" t="s">
        <v>354</v>
      </c>
      <c r="C17" s="224">
        <v>405000</v>
      </c>
      <c r="D17" s="117"/>
      <c r="E17" s="117"/>
      <c r="F17" s="117"/>
      <c r="G17" s="117"/>
      <c r="H17" s="117"/>
      <c r="I17" s="118"/>
      <c r="J17" s="118"/>
    </row>
    <row r="18" spans="1:10" s="114" customFormat="1" ht="15.75" customHeight="1" thickBot="1">
      <c r="A18" s="518" t="s">
        <v>369</v>
      </c>
      <c r="B18" s="237" t="s">
        <v>43</v>
      </c>
      <c r="C18" s="224">
        <v>15000</v>
      </c>
      <c r="D18" s="117"/>
      <c r="E18" s="117"/>
      <c r="F18" s="117"/>
      <c r="G18" s="117"/>
      <c r="H18" s="117"/>
      <c r="I18" s="118"/>
      <c r="J18" s="118"/>
    </row>
    <row r="19" spans="1:10" s="114" customFormat="1" ht="0.75" customHeight="1" hidden="1" thickBot="1">
      <c r="A19" s="119"/>
      <c r="B19" s="120"/>
      <c r="C19" s="121"/>
      <c r="D19" s="117"/>
      <c r="E19" s="117"/>
      <c r="F19" s="117"/>
      <c r="G19" s="117"/>
      <c r="H19" s="117"/>
      <c r="I19" s="118"/>
      <c r="J19" s="118"/>
    </row>
    <row r="20" spans="1:10" s="114" customFormat="1" ht="19.5" customHeight="1" thickBot="1">
      <c r="A20" s="220" t="s">
        <v>429</v>
      </c>
      <c r="B20" s="229" t="s">
        <v>430</v>
      </c>
      <c r="C20" s="222">
        <f>C10+C15</f>
        <v>986869</v>
      </c>
      <c r="D20" s="117"/>
      <c r="E20" s="117"/>
      <c r="F20" s="117"/>
      <c r="G20" s="117"/>
      <c r="H20" s="117"/>
      <c r="I20" s="118"/>
      <c r="J20" s="118"/>
    </row>
    <row r="21" spans="1:10" s="114" customFormat="1" ht="19.5" customHeight="1" thickBot="1">
      <c r="A21" s="230" t="s">
        <v>371</v>
      </c>
      <c r="B21" s="221" t="s">
        <v>363</v>
      </c>
      <c r="C21" s="222">
        <f>C22+C33+C35</f>
        <v>986869</v>
      </c>
      <c r="D21" s="117"/>
      <c r="E21" s="117"/>
      <c r="F21" s="117"/>
      <c r="G21" s="117"/>
      <c r="H21" s="117"/>
      <c r="I21" s="118"/>
      <c r="J21" s="118"/>
    </row>
    <row r="22" spans="1:10" s="114" customFormat="1" ht="19.5" customHeight="1">
      <c r="A22" s="234" t="s">
        <v>367</v>
      </c>
      <c r="B22" s="231" t="s">
        <v>20</v>
      </c>
      <c r="C22" s="238">
        <f>SUM(C23:C32)</f>
        <v>832869</v>
      </c>
      <c r="D22" s="117"/>
      <c r="E22" s="117"/>
      <c r="F22" s="117"/>
      <c r="G22" s="117"/>
      <c r="H22" s="117"/>
      <c r="I22" s="118"/>
      <c r="J22" s="118"/>
    </row>
    <row r="23" spans="1:10" s="114" customFormat="1" ht="17.25" customHeight="1">
      <c r="A23" s="232"/>
      <c r="B23" s="233" t="s">
        <v>432</v>
      </c>
      <c r="C23" s="239">
        <f>40000+20000</f>
        <v>60000</v>
      </c>
      <c r="D23" s="117"/>
      <c r="E23" s="117"/>
      <c r="F23" s="117"/>
      <c r="G23" s="117"/>
      <c r="H23" s="117"/>
      <c r="I23" s="118"/>
      <c r="J23" s="118"/>
    </row>
    <row r="24" spans="1:10" s="114" customFormat="1" ht="17.25" customHeight="1">
      <c r="A24" s="232"/>
      <c r="B24" s="233" t="s">
        <v>45</v>
      </c>
      <c r="C24" s="239">
        <v>25000</v>
      </c>
      <c r="D24" s="117"/>
      <c r="E24" s="117"/>
      <c r="F24" s="117"/>
      <c r="G24" s="117"/>
      <c r="H24" s="117"/>
      <c r="I24" s="118"/>
      <c r="J24" s="118"/>
    </row>
    <row r="25" spans="1:10" s="114" customFormat="1" ht="17.25" customHeight="1">
      <c r="A25" s="232"/>
      <c r="B25" s="233" t="s">
        <v>355</v>
      </c>
      <c r="C25" s="239">
        <v>40000</v>
      </c>
      <c r="D25" s="117"/>
      <c r="E25" s="117"/>
      <c r="F25" s="117"/>
      <c r="G25" s="117"/>
      <c r="H25" s="117"/>
      <c r="I25" s="118"/>
      <c r="J25" s="118"/>
    </row>
    <row r="26" spans="1:10" s="114" customFormat="1" ht="17.25" customHeight="1">
      <c r="A26" s="232"/>
      <c r="B26" s="233" t="s">
        <v>356</v>
      </c>
      <c r="C26" s="239">
        <v>605000</v>
      </c>
      <c r="D26" s="117"/>
      <c r="E26" s="117"/>
      <c r="F26" s="117"/>
      <c r="G26" s="117"/>
      <c r="H26" s="117"/>
      <c r="I26" s="118"/>
      <c r="J26" s="118"/>
    </row>
    <row r="27" spans="1:10" s="114" customFormat="1" ht="30">
      <c r="A27" s="232"/>
      <c r="B27" s="357" t="s">
        <v>227</v>
      </c>
      <c r="C27" s="239">
        <v>1500</v>
      </c>
      <c r="D27" s="117"/>
      <c r="E27" s="117"/>
      <c r="F27" s="117"/>
      <c r="G27" s="117"/>
      <c r="H27" s="117"/>
      <c r="I27" s="118"/>
      <c r="J27" s="118"/>
    </row>
    <row r="28" spans="1:10" s="114" customFormat="1" ht="30">
      <c r="A28" s="232"/>
      <c r="B28" s="357" t="s">
        <v>181</v>
      </c>
      <c r="C28" s="239">
        <v>1500</v>
      </c>
      <c r="D28" s="117"/>
      <c r="E28" s="117"/>
      <c r="F28" s="117"/>
      <c r="G28" s="117"/>
      <c r="H28" s="117"/>
      <c r="I28" s="118"/>
      <c r="J28" s="118"/>
    </row>
    <row r="29" spans="1:10" s="114" customFormat="1" ht="16.5" customHeight="1">
      <c r="A29" s="232"/>
      <c r="B29" s="233" t="s">
        <v>183</v>
      </c>
      <c r="C29" s="239">
        <v>14000</v>
      </c>
      <c r="D29" s="117"/>
      <c r="E29" s="117"/>
      <c r="F29" s="117"/>
      <c r="G29" s="117"/>
      <c r="H29" s="117"/>
      <c r="I29" s="118"/>
      <c r="J29" s="118"/>
    </row>
    <row r="30" spans="1:10" s="114" customFormat="1" ht="30">
      <c r="A30" s="232"/>
      <c r="B30" s="357" t="s">
        <v>138</v>
      </c>
      <c r="C30" s="239">
        <v>6000</v>
      </c>
      <c r="D30" s="117"/>
      <c r="E30" s="117"/>
      <c r="F30" s="117"/>
      <c r="G30" s="117"/>
      <c r="H30" s="117"/>
      <c r="I30" s="118"/>
      <c r="J30" s="118"/>
    </row>
    <row r="31" spans="1:10" s="114" customFormat="1" ht="30">
      <c r="A31" s="232"/>
      <c r="B31" s="357" t="s">
        <v>139</v>
      </c>
      <c r="C31" s="239">
        <f>10000+14869</f>
        <v>24869</v>
      </c>
      <c r="D31" s="117"/>
      <c r="E31" s="117"/>
      <c r="F31" s="117"/>
      <c r="G31" s="117"/>
      <c r="H31" s="117"/>
      <c r="I31" s="118"/>
      <c r="J31" s="118"/>
    </row>
    <row r="32" spans="1:10" s="114" customFormat="1" ht="30">
      <c r="A32" s="232"/>
      <c r="B32" s="357" t="s">
        <v>140</v>
      </c>
      <c r="C32" s="239">
        <f>35000+20000</f>
        <v>55000</v>
      </c>
      <c r="D32" s="117"/>
      <c r="E32" s="117"/>
      <c r="F32" s="117"/>
      <c r="G32" s="117"/>
      <c r="H32" s="117"/>
      <c r="I32" s="118"/>
      <c r="J32" s="118"/>
    </row>
    <row r="33" spans="1:10" s="114" customFormat="1" ht="17.25" customHeight="1">
      <c r="A33" s="234" t="s">
        <v>368</v>
      </c>
      <c r="B33" s="235" t="s">
        <v>21</v>
      </c>
      <c r="C33" s="240">
        <f>SUM(C34:C34)</f>
        <v>70000</v>
      </c>
      <c r="D33" s="117"/>
      <c r="E33" s="117"/>
      <c r="F33" s="117"/>
      <c r="G33" s="117"/>
      <c r="H33" s="117"/>
      <c r="I33" s="118"/>
      <c r="J33" s="118"/>
    </row>
    <row r="34" spans="1:10" s="114" customFormat="1" ht="15.75" customHeight="1" thickBot="1">
      <c r="A34" s="232"/>
      <c r="B34" s="241" t="s">
        <v>431</v>
      </c>
      <c r="C34" s="242">
        <f>50000+20000</f>
        <v>70000</v>
      </c>
      <c r="D34" s="117"/>
      <c r="E34" s="117"/>
      <c r="F34" s="117"/>
      <c r="G34" s="117"/>
      <c r="H34" s="117"/>
      <c r="I34" s="118"/>
      <c r="J34" s="118"/>
    </row>
    <row r="35" spans="1:10" s="114" customFormat="1" ht="16.5" thickBot="1">
      <c r="A35" s="243" t="s">
        <v>369</v>
      </c>
      <c r="B35" s="244" t="s">
        <v>96</v>
      </c>
      <c r="C35" s="245">
        <f>SUM(C36:C37)</f>
        <v>84000</v>
      </c>
      <c r="D35" s="117"/>
      <c r="E35" s="117"/>
      <c r="F35" s="117"/>
      <c r="G35" s="117"/>
      <c r="H35" s="117"/>
      <c r="I35" s="118"/>
      <c r="J35" s="118"/>
    </row>
    <row r="36" spans="1:10" s="114" customFormat="1" ht="30">
      <c r="A36" s="246" t="s">
        <v>97</v>
      </c>
      <c r="B36" s="247" t="s">
        <v>98</v>
      </c>
      <c r="C36" s="248">
        <v>42000</v>
      </c>
      <c r="D36" s="117"/>
      <c r="E36" s="117"/>
      <c r="F36" s="117"/>
      <c r="G36" s="117"/>
      <c r="H36" s="117"/>
      <c r="I36" s="118"/>
      <c r="J36" s="118"/>
    </row>
    <row r="37" spans="1:10" s="114" customFormat="1" ht="30.75" thickBot="1">
      <c r="A37" s="249" t="s">
        <v>99</v>
      </c>
      <c r="B37" s="236" t="s">
        <v>100</v>
      </c>
      <c r="C37" s="250">
        <v>42000</v>
      </c>
      <c r="D37" s="117"/>
      <c r="E37" s="117"/>
      <c r="F37" s="117"/>
      <c r="G37" s="117"/>
      <c r="H37" s="117"/>
      <c r="I37" s="118"/>
      <c r="J37" s="118"/>
    </row>
    <row r="38" spans="1:10" s="114" customFormat="1" ht="19.5" customHeight="1" thickBot="1">
      <c r="A38" s="251" t="s">
        <v>390</v>
      </c>
      <c r="B38" s="252" t="s">
        <v>392</v>
      </c>
      <c r="C38" s="253">
        <f>SUM(C10+C15-C21)</f>
        <v>0</v>
      </c>
      <c r="D38" s="117"/>
      <c r="E38" s="117"/>
      <c r="F38" s="117"/>
      <c r="G38" s="117"/>
      <c r="H38" s="117"/>
      <c r="I38" s="118"/>
      <c r="J38" s="118"/>
    </row>
    <row r="39" spans="1:10" s="114" customFormat="1" ht="17.25" customHeight="1">
      <c r="A39" s="225" t="s">
        <v>367</v>
      </c>
      <c r="B39" s="226" t="s">
        <v>395</v>
      </c>
      <c r="C39" s="223">
        <v>0</v>
      </c>
      <c r="D39" s="117"/>
      <c r="E39" s="117"/>
      <c r="F39" s="117"/>
      <c r="G39" s="117"/>
      <c r="H39" s="117"/>
      <c r="I39" s="118"/>
      <c r="J39" s="118"/>
    </row>
    <row r="40" spans="1:10" s="114" customFormat="1" ht="17.25" customHeight="1">
      <c r="A40" s="227" t="s">
        <v>368</v>
      </c>
      <c r="B40" s="228" t="s">
        <v>394</v>
      </c>
      <c r="C40" s="224">
        <v>20000</v>
      </c>
      <c r="D40" s="117"/>
      <c r="E40" s="117"/>
      <c r="F40" s="117"/>
      <c r="G40" s="117"/>
      <c r="H40" s="117"/>
      <c r="I40" s="118"/>
      <c r="J40" s="118"/>
    </row>
    <row r="41" spans="1:10" s="114" customFormat="1" ht="17.25" customHeight="1" thickBot="1">
      <c r="A41" s="254" t="s">
        <v>369</v>
      </c>
      <c r="B41" s="255" t="s">
        <v>393</v>
      </c>
      <c r="C41" s="256">
        <v>20000</v>
      </c>
      <c r="D41" s="117"/>
      <c r="E41" s="117"/>
      <c r="F41" s="117"/>
      <c r="G41" s="117"/>
      <c r="H41" s="117"/>
      <c r="I41" s="118"/>
      <c r="J41" s="118"/>
    </row>
    <row r="42" spans="1:10" ht="15">
      <c r="A42" s="7"/>
      <c r="B42" s="7"/>
      <c r="C42" s="7"/>
      <c r="D42" s="7"/>
      <c r="E42" s="7"/>
      <c r="F42" s="7"/>
      <c r="G42" s="7"/>
      <c r="H42" s="7"/>
      <c r="I42" s="8"/>
      <c r="J42" s="8"/>
    </row>
    <row r="43" spans="1:10" ht="15">
      <c r="A43" s="7"/>
      <c r="B43" s="7"/>
      <c r="C43" s="68"/>
      <c r="D43" s="7"/>
      <c r="E43" s="7"/>
      <c r="F43" s="7"/>
      <c r="G43" s="7"/>
      <c r="H43" s="7"/>
      <c r="I43" s="8"/>
      <c r="J43" s="8"/>
    </row>
    <row r="44" spans="1:10" ht="15">
      <c r="A44" s="7"/>
      <c r="B44" s="7"/>
      <c r="C44" s="7"/>
      <c r="D44" s="7"/>
      <c r="E44" s="7"/>
      <c r="F44" s="7"/>
      <c r="G44" s="7"/>
      <c r="H44" s="7"/>
      <c r="I44" s="8"/>
      <c r="J44" s="8"/>
    </row>
    <row r="45" spans="1:10" ht="15">
      <c r="A45" s="7"/>
      <c r="B45" s="7"/>
      <c r="C45" s="7"/>
      <c r="D45" s="7"/>
      <c r="E45" s="7"/>
      <c r="F45" s="7"/>
      <c r="G45" s="7"/>
      <c r="H45" s="7"/>
      <c r="I45" s="8"/>
      <c r="J45" s="8"/>
    </row>
    <row r="46" spans="1:10" ht="15">
      <c r="A46" s="7"/>
      <c r="B46" s="7"/>
      <c r="C46" s="7"/>
      <c r="D46" s="7"/>
      <c r="E46" s="7"/>
      <c r="F46" s="7"/>
      <c r="G46" s="7"/>
      <c r="H46" s="7"/>
      <c r="I46" s="8"/>
      <c r="J46" s="8"/>
    </row>
    <row r="47" spans="1:10" ht="15">
      <c r="A47" s="7"/>
      <c r="B47" s="7"/>
      <c r="C47" s="7"/>
      <c r="D47" s="7"/>
      <c r="E47" s="7"/>
      <c r="F47" s="7"/>
      <c r="G47" s="7"/>
      <c r="H47" s="7"/>
      <c r="I47" s="8"/>
      <c r="J47" s="8"/>
    </row>
    <row r="48" spans="1:10" ht="15">
      <c r="A48" s="7"/>
      <c r="B48" s="7"/>
      <c r="C48" s="7"/>
      <c r="D48" s="7"/>
      <c r="E48" s="7"/>
      <c r="F48" s="7"/>
      <c r="G48" s="7"/>
      <c r="H48" s="7"/>
      <c r="I48" s="8"/>
      <c r="J48" s="8"/>
    </row>
    <row r="49" spans="1:10" ht="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">
      <c r="A52" s="8"/>
      <c r="B52" s="8"/>
      <c r="C52" s="8"/>
      <c r="D52" s="8"/>
      <c r="E52" s="8"/>
      <c r="F52" s="8"/>
      <c r="G52" s="8"/>
      <c r="H52" s="8"/>
      <c r="I52" s="8"/>
      <c r="J52" s="8"/>
    </row>
  </sheetData>
  <mergeCells count="2">
    <mergeCell ref="A5:C5"/>
    <mergeCell ref="A6:C6"/>
  </mergeCells>
  <printOptions/>
  <pageMargins left="1.02" right="0.75" top="0.37" bottom="0.53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>
    <tabColor indexed="14"/>
  </sheetPr>
  <dimension ref="A1:M25"/>
  <sheetViews>
    <sheetView workbookViewId="0" topLeftCell="A1">
      <selection activeCell="H6" sqref="H6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</cols>
  <sheetData>
    <row r="1" spans="2:13" s="51" customFormat="1" ht="15.75">
      <c r="B1" s="52"/>
      <c r="C1" s="53"/>
      <c r="D1" s="54"/>
      <c r="E1" s="63"/>
      <c r="F1" s="63"/>
      <c r="G1" s="39" t="s">
        <v>162</v>
      </c>
      <c r="I1" s="54"/>
      <c r="J1" s="63"/>
      <c r="K1" s="63"/>
      <c r="L1" s="63"/>
      <c r="M1" s="39" t="s">
        <v>162</v>
      </c>
    </row>
    <row r="2" spans="2:13" s="51" customFormat="1" ht="15">
      <c r="B2" s="55"/>
      <c r="C2" s="56"/>
      <c r="D2" s="57"/>
      <c r="E2" s="64"/>
      <c r="F2" s="64"/>
      <c r="G2" s="38" t="s">
        <v>445</v>
      </c>
      <c r="I2" s="57"/>
      <c r="J2" s="43"/>
      <c r="K2" s="43"/>
      <c r="L2" s="43"/>
      <c r="M2" s="38" t="s">
        <v>445</v>
      </c>
    </row>
    <row r="3" spans="2:13" s="51" customFormat="1" ht="15">
      <c r="B3" s="55"/>
      <c r="C3" s="58"/>
      <c r="D3" s="57"/>
      <c r="E3" s="64"/>
      <c r="F3" s="64"/>
      <c r="G3" s="38" t="s">
        <v>125</v>
      </c>
      <c r="I3" s="57"/>
      <c r="J3" s="43"/>
      <c r="K3" s="43"/>
      <c r="L3" s="43"/>
      <c r="M3" s="38" t="s">
        <v>125</v>
      </c>
    </row>
    <row r="4" s="59" customFormat="1" ht="12.75">
      <c r="D4" s="58"/>
    </row>
    <row r="5" ht="12.75">
      <c r="D5" s="60"/>
    </row>
    <row r="6" ht="12.75">
      <c r="D6" s="60"/>
    </row>
    <row r="8" spans="2:6" ht="18">
      <c r="B8" s="2"/>
      <c r="C8" s="2"/>
      <c r="D8" s="2"/>
      <c r="E8" s="2"/>
      <c r="F8" s="2"/>
    </row>
    <row r="9" spans="1:3" ht="18">
      <c r="A9" s="20"/>
      <c r="B9" s="20"/>
      <c r="C9" s="20"/>
    </row>
    <row r="10" spans="4:12" s="1" customFormat="1" ht="15.75">
      <c r="D10" s="46"/>
      <c r="E10" s="46"/>
      <c r="F10" s="50"/>
      <c r="G10" s="1" t="s">
        <v>423</v>
      </c>
      <c r="L10" s="1" t="s">
        <v>423</v>
      </c>
    </row>
    <row r="11" spans="1:13" s="122" customFormat="1" ht="35.25" customHeight="1">
      <c r="A11" s="575" t="s">
        <v>426</v>
      </c>
      <c r="B11" s="575" t="s">
        <v>31</v>
      </c>
      <c r="C11" s="575" t="s">
        <v>124</v>
      </c>
      <c r="D11" s="683" t="s">
        <v>32</v>
      </c>
      <c r="E11" s="684"/>
      <c r="F11" s="684"/>
      <c r="G11" s="685"/>
      <c r="H11" s="683" t="s">
        <v>32</v>
      </c>
      <c r="I11" s="684"/>
      <c r="J11" s="684"/>
      <c r="K11" s="684"/>
      <c r="L11" s="684"/>
      <c r="M11" s="685"/>
    </row>
    <row r="12" spans="1:13" s="122" customFormat="1" ht="35.25" customHeight="1">
      <c r="A12" s="575"/>
      <c r="B12" s="575"/>
      <c r="C12" s="575"/>
      <c r="D12" s="318">
        <v>2009</v>
      </c>
      <c r="E12" s="319">
        <v>2010</v>
      </c>
      <c r="F12" s="318">
        <v>2011</v>
      </c>
      <c r="G12" s="318">
        <v>2012</v>
      </c>
      <c r="H12" s="318">
        <v>2013</v>
      </c>
      <c r="I12" s="318">
        <v>2014</v>
      </c>
      <c r="J12" s="318">
        <v>2015</v>
      </c>
      <c r="K12" s="318">
        <v>2016</v>
      </c>
      <c r="L12" s="318">
        <v>2017</v>
      </c>
      <c r="M12" s="433">
        <v>2017</v>
      </c>
    </row>
    <row r="13" spans="1:13" s="122" customFormat="1" ht="11.25" customHeight="1">
      <c r="A13" s="130">
        <v>1</v>
      </c>
      <c r="B13" s="130">
        <v>2</v>
      </c>
      <c r="C13" s="130">
        <v>3</v>
      </c>
      <c r="D13" s="130">
        <v>4</v>
      </c>
      <c r="E13" s="130">
        <v>5</v>
      </c>
      <c r="F13" s="130">
        <v>6</v>
      </c>
      <c r="G13" s="320">
        <v>7</v>
      </c>
      <c r="H13" s="130">
        <v>3</v>
      </c>
      <c r="I13" s="130">
        <v>4</v>
      </c>
      <c r="J13" s="130">
        <v>5</v>
      </c>
      <c r="K13" s="130">
        <v>6</v>
      </c>
      <c r="L13" s="130">
        <v>7</v>
      </c>
      <c r="M13" s="434">
        <v>8</v>
      </c>
    </row>
    <row r="14" spans="1:13" s="100" customFormat="1" ht="28.5" customHeight="1">
      <c r="A14" s="321" t="s">
        <v>367</v>
      </c>
      <c r="B14" s="26" t="s">
        <v>372</v>
      </c>
      <c r="C14" s="326">
        <f>SUM('Zał. nr 8'!C45)</f>
        <v>0</v>
      </c>
      <c r="D14" s="326">
        <f>SUM('Zał. nr 8'!D45)</f>
        <v>0</v>
      </c>
      <c r="E14" s="326">
        <f>SUM('Zał. nr 8'!E45)</f>
        <v>0</v>
      </c>
      <c r="F14" s="326">
        <f>SUM('Zał. nr 8'!F45)</f>
        <v>0</v>
      </c>
      <c r="G14" s="326">
        <f>SUM('Zał. nr 8'!G45)</f>
        <v>0</v>
      </c>
      <c r="H14" s="326">
        <f>SUM('Zał. nr 8'!H45)</f>
        <v>0</v>
      </c>
      <c r="I14" s="326">
        <f>SUM('Zał. nr 8'!I45)</f>
        <v>0</v>
      </c>
      <c r="J14" s="326">
        <f>SUM('Zał. nr 8'!J45)</f>
        <v>0</v>
      </c>
      <c r="K14" s="326">
        <f>SUM('Zał. nr 8'!K45)</f>
        <v>0</v>
      </c>
      <c r="L14" s="326">
        <f>SUM('Zał. nr 8'!L45)</f>
        <v>0</v>
      </c>
      <c r="M14" s="435">
        <f>SUM('Zał. nr 8'!M45)</f>
        <v>0</v>
      </c>
    </row>
    <row r="15" spans="1:13" s="100" customFormat="1" ht="24.75" customHeight="1">
      <c r="A15" s="321" t="s">
        <v>368</v>
      </c>
      <c r="B15" s="26" t="s">
        <v>374</v>
      </c>
      <c r="C15" s="326">
        <f>SUM('Zał. nr 8'!C44)</f>
        <v>24701398</v>
      </c>
      <c r="D15" s="326">
        <f>SUM('Zał. nr 8'!D44)</f>
        <v>23508598</v>
      </c>
      <c r="E15" s="326">
        <f>SUM('Zał. nr 8'!E44)</f>
        <v>22929021</v>
      </c>
      <c r="F15" s="326">
        <f>SUM('Zał. nr 8'!F44)</f>
        <v>20341324</v>
      </c>
      <c r="G15" s="326">
        <f>SUM('Zał. nr 8'!G44)</f>
        <v>15691331</v>
      </c>
      <c r="H15" s="326">
        <f>SUM('Zał. nr 8'!H44)</f>
        <v>9112331</v>
      </c>
      <c r="I15" s="326">
        <f>SUM('Zał. nr 8'!I44)</f>
        <v>5887331</v>
      </c>
      <c r="J15" s="326">
        <f>SUM('Zał. nr 8'!J44)</f>
        <v>2734731</v>
      </c>
      <c r="K15" s="326">
        <f>SUM('Zał. nr 8'!K44)</f>
        <v>459731</v>
      </c>
      <c r="L15" s="326">
        <f>SUM('Zał. nr 8'!L44)</f>
        <v>0</v>
      </c>
      <c r="M15" s="435">
        <f>SUM('Zał. nr 8'!M44)</f>
        <v>0</v>
      </c>
    </row>
    <row r="16" spans="1:13" s="100" customFormat="1" ht="24.75" customHeight="1">
      <c r="A16" s="321" t="s">
        <v>369</v>
      </c>
      <c r="B16" s="26" t="s">
        <v>375</v>
      </c>
      <c r="C16" s="327" t="s">
        <v>433</v>
      </c>
      <c r="D16" s="327" t="s">
        <v>433</v>
      </c>
      <c r="E16" s="327" t="s">
        <v>433</v>
      </c>
      <c r="F16" s="327" t="s">
        <v>433</v>
      </c>
      <c r="G16" s="331" t="s">
        <v>433</v>
      </c>
      <c r="H16" s="327" t="s">
        <v>433</v>
      </c>
      <c r="I16" s="327" t="s">
        <v>433</v>
      </c>
      <c r="J16" s="327" t="s">
        <v>433</v>
      </c>
      <c r="K16" s="327" t="s">
        <v>433</v>
      </c>
      <c r="L16" s="327" t="s">
        <v>433</v>
      </c>
      <c r="M16" s="436" t="s">
        <v>433</v>
      </c>
    </row>
    <row r="17" spans="1:13" s="100" customFormat="1" ht="24.75" customHeight="1">
      <c r="A17" s="322" t="s">
        <v>358</v>
      </c>
      <c r="B17" s="323" t="s">
        <v>376</v>
      </c>
      <c r="C17" s="327" t="s">
        <v>433</v>
      </c>
      <c r="D17" s="327" t="s">
        <v>433</v>
      </c>
      <c r="E17" s="327" t="s">
        <v>433</v>
      </c>
      <c r="F17" s="327" t="s">
        <v>433</v>
      </c>
      <c r="G17" s="331" t="s">
        <v>433</v>
      </c>
      <c r="H17" s="327" t="s">
        <v>433</v>
      </c>
      <c r="I17" s="327" t="s">
        <v>433</v>
      </c>
      <c r="J17" s="327" t="s">
        <v>433</v>
      </c>
      <c r="K17" s="327" t="s">
        <v>433</v>
      </c>
      <c r="L17" s="327" t="s">
        <v>433</v>
      </c>
      <c r="M17" s="436" t="s">
        <v>433</v>
      </c>
    </row>
    <row r="18" spans="1:13" s="100" customFormat="1" ht="42.75" customHeight="1">
      <c r="A18" s="322" t="s">
        <v>373</v>
      </c>
      <c r="B18" s="26" t="s">
        <v>33</v>
      </c>
      <c r="C18" s="327" t="s">
        <v>433</v>
      </c>
      <c r="D18" s="327" t="s">
        <v>433</v>
      </c>
      <c r="E18" s="327" t="s">
        <v>433</v>
      </c>
      <c r="F18" s="327" t="s">
        <v>433</v>
      </c>
      <c r="G18" s="331" t="s">
        <v>433</v>
      </c>
      <c r="H18" s="327" t="s">
        <v>433</v>
      </c>
      <c r="I18" s="327" t="s">
        <v>433</v>
      </c>
      <c r="J18" s="327" t="s">
        <v>433</v>
      </c>
      <c r="K18" s="327" t="s">
        <v>433</v>
      </c>
      <c r="L18" s="333" t="s">
        <v>433</v>
      </c>
      <c r="M18" s="437" t="s">
        <v>433</v>
      </c>
    </row>
    <row r="19" spans="1:13" s="100" customFormat="1" ht="24.75" customHeight="1">
      <c r="A19" s="324"/>
      <c r="B19" s="26" t="s">
        <v>34</v>
      </c>
      <c r="C19" s="327" t="s">
        <v>433</v>
      </c>
      <c r="D19" s="327" t="s">
        <v>433</v>
      </c>
      <c r="E19" s="327" t="s">
        <v>433</v>
      </c>
      <c r="F19" s="327" t="s">
        <v>433</v>
      </c>
      <c r="G19" s="327" t="s">
        <v>433</v>
      </c>
      <c r="H19" s="327" t="s">
        <v>433</v>
      </c>
      <c r="I19" s="327" t="s">
        <v>433</v>
      </c>
      <c r="J19" s="327" t="s">
        <v>433</v>
      </c>
      <c r="K19" s="327" t="s">
        <v>433</v>
      </c>
      <c r="L19" s="327" t="s">
        <v>433</v>
      </c>
      <c r="M19" s="436" t="s">
        <v>433</v>
      </c>
    </row>
    <row r="20" spans="1:13" s="100" customFormat="1" ht="24.75" customHeight="1">
      <c r="A20" s="324"/>
      <c r="B20" s="26" t="s">
        <v>35</v>
      </c>
      <c r="C20" s="327" t="s">
        <v>433</v>
      </c>
      <c r="D20" s="327" t="s">
        <v>433</v>
      </c>
      <c r="E20" s="327" t="s">
        <v>433</v>
      </c>
      <c r="F20" s="327" t="s">
        <v>433</v>
      </c>
      <c r="G20" s="327" t="s">
        <v>433</v>
      </c>
      <c r="H20" s="327" t="s">
        <v>433</v>
      </c>
      <c r="I20" s="327" t="s">
        <v>433</v>
      </c>
      <c r="J20" s="327" t="s">
        <v>433</v>
      </c>
      <c r="K20" s="327" t="s">
        <v>433</v>
      </c>
      <c r="L20" s="327" t="s">
        <v>433</v>
      </c>
      <c r="M20" s="436" t="s">
        <v>433</v>
      </c>
    </row>
    <row r="21" spans="1:13" s="100" customFormat="1" ht="24.75" customHeight="1">
      <c r="A21" s="324"/>
      <c r="B21" s="26" t="s">
        <v>36</v>
      </c>
      <c r="C21" s="327" t="s">
        <v>433</v>
      </c>
      <c r="D21" s="327" t="s">
        <v>433</v>
      </c>
      <c r="E21" s="327" t="s">
        <v>433</v>
      </c>
      <c r="F21" s="327" t="s">
        <v>433</v>
      </c>
      <c r="G21" s="327" t="s">
        <v>433</v>
      </c>
      <c r="H21" s="327" t="s">
        <v>433</v>
      </c>
      <c r="I21" s="327" t="s">
        <v>433</v>
      </c>
      <c r="J21" s="327" t="s">
        <v>433</v>
      </c>
      <c r="K21" s="327" t="s">
        <v>433</v>
      </c>
      <c r="L21" s="333" t="s">
        <v>433</v>
      </c>
      <c r="M21" s="437" t="s">
        <v>433</v>
      </c>
    </row>
    <row r="22" spans="1:13" s="100" customFormat="1" ht="24.75" customHeight="1">
      <c r="A22" s="325"/>
      <c r="B22" s="26" t="s">
        <v>37</v>
      </c>
      <c r="C22" s="327" t="s">
        <v>433</v>
      </c>
      <c r="D22" s="327" t="s">
        <v>433</v>
      </c>
      <c r="E22" s="327" t="s">
        <v>433</v>
      </c>
      <c r="F22" s="327" t="s">
        <v>433</v>
      </c>
      <c r="G22" s="331" t="s">
        <v>433</v>
      </c>
      <c r="H22" s="327" t="s">
        <v>433</v>
      </c>
      <c r="I22" s="327" t="s">
        <v>433</v>
      </c>
      <c r="J22" s="327" t="s">
        <v>433</v>
      </c>
      <c r="K22" s="327" t="s">
        <v>433</v>
      </c>
      <c r="L22" s="327" t="s">
        <v>433</v>
      </c>
      <c r="M22" s="436" t="s">
        <v>433</v>
      </c>
    </row>
    <row r="23" spans="1:13" s="123" customFormat="1" ht="30" customHeight="1">
      <c r="A23" s="325" t="s">
        <v>377</v>
      </c>
      <c r="B23" s="61" t="s">
        <v>38</v>
      </c>
      <c r="C23" s="328">
        <f>SUM(C14,C15)</f>
        <v>24701398</v>
      </c>
      <c r="D23" s="328">
        <f>SUM(D14,D15,D18)</f>
        <v>23508598</v>
      </c>
      <c r="E23" s="328">
        <f aca="true" t="shared" si="0" ref="E23:M23">SUM(E14,E15,E18)</f>
        <v>22929021</v>
      </c>
      <c r="F23" s="328">
        <f t="shared" si="0"/>
        <v>20341324</v>
      </c>
      <c r="G23" s="328">
        <f t="shared" si="0"/>
        <v>15691331</v>
      </c>
      <c r="H23" s="328">
        <f t="shared" si="0"/>
        <v>9112331</v>
      </c>
      <c r="I23" s="328">
        <f t="shared" si="0"/>
        <v>5887331</v>
      </c>
      <c r="J23" s="328">
        <f t="shared" si="0"/>
        <v>2734731</v>
      </c>
      <c r="K23" s="328">
        <f t="shared" si="0"/>
        <v>459731</v>
      </c>
      <c r="L23" s="328">
        <f t="shared" si="0"/>
        <v>0</v>
      </c>
      <c r="M23" s="438">
        <f t="shared" si="0"/>
        <v>0</v>
      </c>
    </row>
    <row r="24" spans="1:13" s="123" customFormat="1" ht="27" customHeight="1">
      <c r="A24" s="325" t="s">
        <v>387</v>
      </c>
      <c r="B24" s="26" t="s">
        <v>388</v>
      </c>
      <c r="C24" s="329">
        <f>SUM('Zał. nr 8'!C11)</f>
        <v>66245029</v>
      </c>
      <c r="D24" s="329">
        <f>SUM('Zał. nr 8'!D11)</f>
        <v>84142108</v>
      </c>
      <c r="E24" s="329">
        <f>SUM('Zał. nr 8'!E11)</f>
        <v>86476536</v>
      </c>
      <c r="F24" s="329">
        <f>SUM('Zał. nr 8'!F11)</f>
        <v>84563856</v>
      </c>
      <c r="G24" s="329">
        <f>SUM('Zał. nr 8'!G11)</f>
        <v>75743751</v>
      </c>
      <c r="H24" s="329">
        <f>SUM('Zał. nr 8'!H11)</f>
        <v>78067819</v>
      </c>
      <c r="I24" s="329">
        <f>SUM('Zał. nr 8'!I11)</f>
        <v>80553485</v>
      </c>
      <c r="J24" s="329">
        <f>SUM('Zał. nr 8'!J11)</f>
        <v>83002535</v>
      </c>
      <c r="K24" s="329">
        <f>SUM('Zał. nr 8'!K11)</f>
        <v>85616807</v>
      </c>
      <c r="L24" s="329">
        <f>SUM('Zał. nr 8'!L11)</f>
        <v>88298194</v>
      </c>
      <c r="M24" s="439">
        <f>SUM('Zał. nr 8'!M11)</f>
        <v>90858840</v>
      </c>
    </row>
    <row r="25" spans="1:13" s="123" customFormat="1" ht="30" customHeight="1">
      <c r="A25" s="325" t="s">
        <v>396</v>
      </c>
      <c r="B25" s="26" t="s">
        <v>39</v>
      </c>
      <c r="C25" s="330">
        <f aca="true" t="shared" si="1" ref="C25:M25">C23/C24*100</f>
        <v>37.28792691750501</v>
      </c>
      <c r="D25" s="330">
        <f t="shared" si="1"/>
        <v>27.939159784302053</v>
      </c>
      <c r="E25" s="330">
        <f t="shared" si="1"/>
        <v>26.514731117351882</v>
      </c>
      <c r="F25" s="330">
        <f t="shared" si="1"/>
        <v>24.054395059752242</v>
      </c>
      <c r="G25" s="332">
        <f t="shared" si="1"/>
        <v>20.716337378115853</v>
      </c>
      <c r="H25" s="330">
        <f t="shared" si="1"/>
        <v>11.672326852118156</v>
      </c>
      <c r="I25" s="330">
        <f t="shared" si="1"/>
        <v>7.308598752741734</v>
      </c>
      <c r="J25" s="330">
        <f t="shared" si="1"/>
        <v>3.2947559975126057</v>
      </c>
      <c r="K25" s="330">
        <f t="shared" si="1"/>
        <v>0.5369634959640576</v>
      </c>
      <c r="L25" s="330">
        <f t="shared" si="1"/>
        <v>0</v>
      </c>
      <c r="M25" s="440">
        <f t="shared" si="1"/>
        <v>0</v>
      </c>
    </row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</sheetData>
  <mergeCells count="5">
    <mergeCell ref="H11:M11"/>
    <mergeCell ref="A11:A12"/>
    <mergeCell ref="B11:B12"/>
    <mergeCell ref="C11:C12"/>
    <mergeCell ref="D11:G11"/>
  </mergeCells>
  <printOptions/>
  <pageMargins left="0.79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6">
    <tabColor indexed="14"/>
  </sheetPr>
  <dimension ref="A1:Y75"/>
  <sheetViews>
    <sheetView workbookViewId="0" topLeftCell="A2141">
      <pane ySplit="1005" topLeftCell="BM1" activePane="bottomLeft" state="split"/>
      <selection pane="topLeft" activeCell="I8" sqref="I8:M2143"/>
      <selection pane="bottomLeft" activeCell="N8" sqref="N8"/>
    </sheetView>
  </sheetViews>
  <sheetFormatPr defaultColWidth="9.00390625" defaultRowHeight="12.75"/>
  <cols>
    <col min="1" max="1" width="4.375" style="37" customWidth="1"/>
    <col min="2" max="2" width="40.875" style="37" customWidth="1"/>
    <col min="3" max="3" width="13.25390625" style="37" customWidth="1"/>
    <col min="4" max="6" width="13.125" style="92" customWidth="1"/>
    <col min="7" max="7" width="15.125" style="92" customWidth="1"/>
    <col min="8" max="8" width="13.00390625" style="92" customWidth="1"/>
    <col min="9" max="9" width="14.625" style="92" customWidth="1"/>
    <col min="10" max="12" width="13.125" style="92" customWidth="1"/>
    <col min="13" max="13" width="14.625" style="92" customWidth="1"/>
    <col min="14" max="14" width="13.00390625" style="92" customWidth="1"/>
    <col min="15" max="16384" width="9.125" style="37" customWidth="1"/>
  </cols>
  <sheetData>
    <row r="1" spans="4:25" ht="14.25">
      <c r="D1" s="63"/>
      <c r="E1" s="63"/>
      <c r="F1" s="39" t="s">
        <v>40</v>
      </c>
      <c r="H1" s="63"/>
      <c r="I1" s="63"/>
      <c r="J1" s="39" t="s">
        <v>40</v>
      </c>
      <c r="K1" s="93"/>
      <c r="L1" s="93"/>
      <c r="M1" s="93"/>
      <c r="N1" s="39" t="s">
        <v>40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4:25" ht="14.25">
      <c r="D2" s="64"/>
      <c r="E2" s="64"/>
      <c r="F2" s="38" t="s">
        <v>445</v>
      </c>
      <c r="H2" s="64"/>
      <c r="I2" s="64"/>
      <c r="J2" s="38" t="s">
        <v>445</v>
      </c>
      <c r="K2" s="94"/>
      <c r="L2" s="94"/>
      <c r="M2" s="94"/>
      <c r="N2" s="38" t="s">
        <v>445</v>
      </c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4:25" ht="14.25">
      <c r="D3" s="64"/>
      <c r="E3" s="64"/>
      <c r="F3" s="38" t="s">
        <v>125</v>
      </c>
      <c r="H3" s="64"/>
      <c r="I3" s="64"/>
      <c r="J3" s="38" t="s">
        <v>125</v>
      </c>
      <c r="K3" s="94"/>
      <c r="L3" s="94"/>
      <c r="M3" s="94"/>
      <c r="N3" s="38" t="s">
        <v>125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4:12" ht="14.25">
      <c r="D4" s="57"/>
      <c r="E4" s="57"/>
      <c r="F4" s="57"/>
      <c r="H4" s="37"/>
      <c r="I4" s="37"/>
      <c r="J4" s="57"/>
      <c r="K4" s="95"/>
      <c r="L4" s="95"/>
    </row>
    <row r="5" spans="4:10" ht="12.75">
      <c r="D5" s="37"/>
      <c r="E5" s="22"/>
      <c r="F5" s="37"/>
      <c r="H5" s="37"/>
      <c r="I5" s="37"/>
      <c r="J5" s="37"/>
    </row>
    <row r="6" spans="6:14" ht="15" customHeight="1">
      <c r="F6" s="67" t="s">
        <v>326</v>
      </c>
      <c r="H6" s="37"/>
      <c r="I6" s="37"/>
      <c r="J6" s="67" t="s">
        <v>326</v>
      </c>
      <c r="N6" s="67" t="s">
        <v>326</v>
      </c>
    </row>
    <row r="7" spans="1:14" ht="12.75">
      <c r="A7" s="131" t="s">
        <v>426</v>
      </c>
      <c r="B7" s="131" t="s">
        <v>361</v>
      </c>
      <c r="C7" s="695" t="s">
        <v>163</v>
      </c>
      <c r="D7" s="689" t="s">
        <v>327</v>
      </c>
      <c r="E7" s="690"/>
      <c r="F7" s="691"/>
      <c r="G7" s="689" t="s">
        <v>328</v>
      </c>
      <c r="H7" s="690"/>
      <c r="I7" s="690"/>
      <c r="J7" s="691"/>
      <c r="K7" s="686" t="s">
        <v>328</v>
      </c>
      <c r="L7" s="687"/>
      <c r="M7" s="688"/>
      <c r="N7" s="521"/>
    </row>
    <row r="8" spans="1:14" ht="12.75">
      <c r="A8" s="312"/>
      <c r="B8" s="312"/>
      <c r="C8" s="696"/>
      <c r="D8" s="267">
        <v>2009</v>
      </c>
      <c r="E8" s="268">
        <v>2010</v>
      </c>
      <c r="F8" s="268">
        <v>2011</v>
      </c>
      <c r="G8" s="268">
        <v>2012</v>
      </c>
      <c r="H8" s="268">
        <v>2013</v>
      </c>
      <c r="I8" s="268">
        <v>2014</v>
      </c>
      <c r="J8" s="268">
        <v>2015</v>
      </c>
      <c r="K8" s="268">
        <v>2016</v>
      </c>
      <c r="L8" s="268">
        <v>2017</v>
      </c>
      <c r="M8" s="426">
        <v>2018</v>
      </c>
      <c r="N8" s="131"/>
    </row>
    <row r="9" spans="1:14" ht="12.75">
      <c r="A9" s="271"/>
      <c r="B9" s="271"/>
      <c r="C9" s="269">
        <v>2008</v>
      </c>
      <c r="D9" s="270"/>
      <c r="E9" s="271"/>
      <c r="F9" s="271"/>
      <c r="G9" s="271"/>
      <c r="H9" s="271"/>
      <c r="I9" s="271"/>
      <c r="J9" s="271"/>
      <c r="K9" s="271"/>
      <c r="L9" s="271"/>
      <c r="M9" s="427"/>
      <c r="N9" s="269"/>
    </row>
    <row r="10" spans="1:14" ht="12.75">
      <c r="A10" s="142">
        <v>1</v>
      </c>
      <c r="B10" s="142">
        <v>2</v>
      </c>
      <c r="C10" s="142">
        <v>3</v>
      </c>
      <c r="D10" s="142">
        <v>4</v>
      </c>
      <c r="E10" s="142">
        <v>5</v>
      </c>
      <c r="F10" s="142">
        <v>6</v>
      </c>
      <c r="G10" s="142">
        <v>3</v>
      </c>
      <c r="H10" s="142">
        <v>4</v>
      </c>
      <c r="I10" s="142">
        <v>5</v>
      </c>
      <c r="J10" s="142">
        <v>6</v>
      </c>
      <c r="K10" s="142">
        <v>3</v>
      </c>
      <c r="L10" s="142">
        <v>4</v>
      </c>
      <c r="M10" s="428">
        <v>5</v>
      </c>
      <c r="N10" s="142"/>
    </row>
    <row r="11" spans="1:14" s="276" customFormat="1" ht="16.5">
      <c r="A11" s="272" t="s">
        <v>366</v>
      </c>
      <c r="B11" s="273" t="s">
        <v>78</v>
      </c>
      <c r="C11" s="486">
        <f>SUM(C12,C16:C19)</f>
        <v>66245029</v>
      </c>
      <c r="D11" s="274">
        <f>SUM(D12,D16:D19)</f>
        <v>84142108</v>
      </c>
      <c r="E11" s="274">
        <f aca="true" t="shared" si="0" ref="E11:L11">SUM(E12,E16,E17,E18,E19)</f>
        <v>86476536</v>
      </c>
      <c r="F11" s="274">
        <f t="shared" si="0"/>
        <v>84563856</v>
      </c>
      <c r="G11" s="274">
        <f t="shared" si="0"/>
        <v>75743751</v>
      </c>
      <c r="H11" s="274">
        <f t="shared" si="0"/>
        <v>78067819</v>
      </c>
      <c r="I11" s="274">
        <f t="shared" si="0"/>
        <v>80553485</v>
      </c>
      <c r="J11" s="274">
        <f t="shared" si="0"/>
        <v>83002535</v>
      </c>
      <c r="K11" s="274">
        <f t="shared" si="0"/>
        <v>85616807</v>
      </c>
      <c r="L11" s="274">
        <f t="shared" si="0"/>
        <v>88298194</v>
      </c>
      <c r="M11" s="300">
        <f>SUM(M12,M16,M17,M18,M19)</f>
        <v>90858840</v>
      </c>
      <c r="N11" s="275">
        <f>SUM(N12,N16,N17,N18,N19)</f>
        <v>93584605.2</v>
      </c>
    </row>
    <row r="12" spans="1:14" s="25" customFormat="1" ht="15">
      <c r="A12" s="277" t="s">
        <v>80</v>
      </c>
      <c r="B12" s="278" t="s">
        <v>329</v>
      </c>
      <c r="C12" s="486">
        <f>SUM(C13:C15)</f>
        <v>17093360</v>
      </c>
      <c r="D12" s="274">
        <f>SUM(D13:D15)</f>
        <v>17178136</v>
      </c>
      <c r="E12" s="274">
        <f>SUM(E13:E15)</f>
        <v>17676302</v>
      </c>
      <c r="F12" s="274">
        <f>SUM(F13:F15)</f>
        <v>18188915</v>
      </c>
      <c r="G12" s="274">
        <v>17491977</v>
      </c>
      <c r="H12" s="274">
        <v>17999244</v>
      </c>
      <c r="I12" s="274">
        <v>18521222</v>
      </c>
      <c r="J12" s="274">
        <v>19058337</v>
      </c>
      <c r="K12" s="274">
        <v>19611028</v>
      </c>
      <c r="L12" s="274">
        <v>20179747</v>
      </c>
      <c r="M12" s="300">
        <f>SUM(M13:M15)</f>
        <v>20764959</v>
      </c>
      <c r="N12" s="275">
        <f>SUM(N13:N15)</f>
        <v>21387907.77</v>
      </c>
    </row>
    <row r="13" spans="1:14" s="25" customFormat="1" ht="25.5" customHeight="1">
      <c r="A13" s="65" t="s">
        <v>367</v>
      </c>
      <c r="B13" s="279" t="s">
        <v>330</v>
      </c>
      <c r="C13" s="487">
        <v>10055701</v>
      </c>
      <c r="D13" s="280">
        <v>10107369</v>
      </c>
      <c r="E13" s="280">
        <f aca="true" t="shared" si="1" ref="E13:E18">ROUND(D13*102.9%,0)</f>
        <v>10400483</v>
      </c>
      <c r="F13" s="280">
        <f aca="true" t="shared" si="2" ref="F13:F18">ROUND(E13*102.9%,0)</f>
        <v>10702097</v>
      </c>
      <c r="G13" s="280">
        <v>11012806</v>
      </c>
      <c r="H13" s="280">
        <v>11332177</v>
      </c>
      <c r="I13" s="280">
        <v>11660810</v>
      </c>
      <c r="J13" s="280">
        <v>11998973</v>
      </c>
      <c r="K13" s="280">
        <v>12346943</v>
      </c>
      <c r="L13" s="280">
        <v>12705004</v>
      </c>
      <c r="M13" s="299">
        <f aca="true" t="shared" si="3" ref="M13:M19">ROUND(L13*102.9%,0)</f>
        <v>13073449</v>
      </c>
      <c r="N13" s="281">
        <f aca="true" t="shared" si="4" ref="N13:N19">M13*103%</f>
        <v>13465652.47</v>
      </c>
    </row>
    <row r="14" spans="1:14" s="25" customFormat="1" ht="12.75" customHeight="1">
      <c r="A14" s="65" t="s">
        <v>368</v>
      </c>
      <c r="B14" s="279" t="s">
        <v>331</v>
      </c>
      <c r="C14" s="487">
        <v>419414</v>
      </c>
      <c r="D14" s="280">
        <v>373583</v>
      </c>
      <c r="E14" s="280">
        <f t="shared" si="1"/>
        <v>384417</v>
      </c>
      <c r="F14" s="280">
        <f t="shared" si="2"/>
        <v>395565</v>
      </c>
      <c r="G14" s="280">
        <v>393599</v>
      </c>
      <c r="H14" s="280">
        <v>405013</v>
      </c>
      <c r="I14" s="280">
        <v>416758</v>
      </c>
      <c r="J14" s="280">
        <v>428844</v>
      </c>
      <c r="K14" s="280">
        <v>441280</v>
      </c>
      <c r="L14" s="280">
        <v>454077</v>
      </c>
      <c r="M14" s="299">
        <f t="shared" si="3"/>
        <v>467245</v>
      </c>
      <c r="N14" s="281">
        <f t="shared" si="4"/>
        <v>481262.35000000003</v>
      </c>
    </row>
    <row r="15" spans="1:14" s="25" customFormat="1" ht="12.75" customHeight="1">
      <c r="A15" s="65" t="s">
        <v>369</v>
      </c>
      <c r="B15" s="279" t="s">
        <v>332</v>
      </c>
      <c r="C15" s="487">
        <v>6618245</v>
      </c>
      <c r="D15" s="280">
        <v>6697184</v>
      </c>
      <c r="E15" s="280">
        <f t="shared" si="1"/>
        <v>6891402</v>
      </c>
      <c r="F15" s="280">
        <f t="shared" si="2"/>
        <v>7091253</v>
      </c>
      <c r="G15" s="280">
        <v>6085572</v>
      </c>
      <c r="H15" s="280">
        <v>6262054</v>
      </c>
      <c r="I15" s="280">
        <v>6443654</v>
      </c>
      <c r="J15" s="280">
        <v>6630520</v>
      </c>
      <c r="K15" s="280">
        <v>6822805</v>
      </c>
      <c r="L15" s="280">
        <v>7020666</v>
      </c>
      <c r="M15" s="299">
        <f t="shared" si="3"/>
        <v>7224265</v>
      </c>
      <c r="N15" s="281">
        <f t="shared" si="4"/>
        <v>7440992.95</v>
      </c>
    </row>
    <row r="16" spans="1:14" s="25" customFormat="1" ht="15">
      <c r="A16" s="282" t="s">
        <v>295</v>
      </c>
      <c r="B16" s="283" t="s">
        <v>427</v>
      </c>
      <c r="C16" s="488">
        <v>37788842</v>
      </c>
      <c r="D16" s="284">
        <v>42063659</v>
      </c>
      <c r="E16" s="284">
        <f t="shared" si="1"/>
        <v>43283505</v>
      </c>
      <c r="F16" s="284">
        <f t="shared" si="2"/>
        <v>44538727</v>
      </c>
      <c r="G16" s="284">
        <v>45987273</v>
      </c>
      <c r="H16" s="284">
        <v>47320904</v>
      </c>
      <c r="I16" s="284">
        <v>48693210</v>
      </c>
      <c r="J16" s="284">
        <v>50105313</v>
      </c>
      <c r="K16" s="284">
        <v>51558367</v>
      </c>
      <c r="L16" s="284">
        <v>53053560</v>
      </c>
      <c r="M16" s="429">
        <f t="shared" si="3"/>
        <v>54592113</v>
      </c>
      <c r="N16" s="275">
        <f t="shared" si="4"/>
        <v>56229876.39</v>
      </c>
    </row>
    <row r="17" spans="1:14" s="288" customFormat="1" ht="30" customHeight="1">
      <c r="A17" s="285" t="s">
        <v>299</v>
      </c>
      <c r="B17" s="286" t="s">
        <v>333</v>
      </c>
      <c r="C17" s="489">
        <v>5906113</v>
      </c>
      <c r="D17" s="284">
        <v>5681184</v>
      </c>
      <c r="E17" s="284">
        <f t="shared" si="1"/>
        <v>5845938</v>
      </c>
      <c r="F17" s="284">
        <f t="shared" si="2"/>
        <v>6015470</v>
      </c>
      <c r="G17" s="284">
        <v>6316083</v>
      </c>
      <c r="H17" s="284">
        <v>6499249</v>
      </c>
      <c r="I17" s="284">
        <v>6687727</v>
      </c>
      <c r="J17" s="284">
        <v>6881671</v>
      </c>
      <c r="K17" s="284">
        <v>7081239</v>
      </c>
      <c r="L17" s="284">
        <v>7286595</v>
      </c>
      <c r="M17" s="429">
        <f t="shared" si="3"/>
        <v>7497906</v>
      </c>
      <c r="N17" s="287">
        <f t="shared" si="4"/>
        <v>7722843.180000001</v>
      </c>
    </row>
    <row r="18" spans="1:14" s="288" customFormat="1" ht="15">
      <c r="A18" s="285" t="s">
        <v>300</v>
      </c>
      <c r="B18" s="289" t="s">
        <v>428</v>
      </c>
      <c r="C18" s="490">
        <v>4688760</v>
      </c>
      <c r="D18" s="284">
        <v>5025064</v>
      </c>
      <c r="E18" s="284">
        <f t="shared" si="1"/>
        <v>5170791</v>
      </c>
      <c r="F18" s="284">
        <f t="shared" si="2"/>
        <v>5320744</v>
      </c>
      <c r="G18" s="284">
        <v>3448418</v>
      </c>
      <c r="H18" s="284">
        <v>3548422</v>
      </c>
      <c r="I18" s="284">
        <v>3651326</v>
      </c>
      <c r="J18" s="284">
        <v>3757214</v>
      </c>
      <c r="K18" s="284">
        <v>3866173</v>
      </c>
      <c r="L18" s="284">
        <v>3978292</v>
      </c>
      <c r="M18" s="429">
        <f t="shared" si="3"/>
        <v>4093662</v>
      </c>
      <c r="N18" s="287">
        <f t="shared" si="4"/>
        <v>4216471.86</v>
      </c>
    </row>
    <row r="19" spans="1:14" s="288" customFormat="1" ht="15">
      <c r="A19" s="285" t="s">
        <v>303</v>
      </c>
      <c r="B19" s="289" t="s">
        <v>334</v>
      </c>
      <c r="C19" s="490">
        <v>767954</v>
      </c>
      <c r="D19" s="284">
        <v>14194065</v>
      </c>
      <c r="E19" s="284">
        <v>14500000</v>
      </c>
      <c r="F19" s="284">
        <v>10500000</v>
      </c>
      <c r="G19" s="284">
        <v>2500000</v>
      </c>
      <c r="H19" s="284">
        <v>2700000</v>
      </c>
      <c r="I19" s="284">
        <v>3000000</v>
      </c>
      <c r="J19" s="284">
        <v>3200000</v>
      </c>
      <c r="K19" s="284">
        <v>3500000</v>
      </c>
      <c r="L19" s="284">
        <v>3800000</v>
      </c>
      <c r="M19" s="429">
        <f t="shared" si="3"/>
        <v>3910200</v>
      </c>
      <c r="N19" s="275">
        <f t="shared" si="4"/>
        <v>4027506</v>
      </c>
    </row>
    <row r="20" spans="1:14" s="276" customFormat="1" ht="16.5">
      <c r="A20" s="272" t="s">
        <v>370</v>
      </c>
      <c r="B20" s="273" t="s">
        <v>19</v>
      </c>
      <c r="C20" s="486">
        <f aca="true" t="shared" si="5" ref="C20:K20">C21+C25</f>
        <v>65341530</v>
      </c>
      <c r="D20" s="274">
        <f t="shared" si="5"/>
        <v>87606877</v>
      </c>
      <c r="E20" s="274">
        <f t="shared" si="5"/>
        <v>85896959</v>
      </c>
      <c r="F20" s="274">
        <f t="shared" si="5"/>
        <v>81976159</v>
      </c>
      <c r="G20" s="274">
        <f t="shared" si="5"/>
        <v>71093758</v>
      </c>
      <c r="H20" s="274">
        <f t="shared" si="5"/>
        <v>70784696</v>
      </c>
      <c r="I20" s="274">
        <f t="shared" si="5"/>
        <v>71482543</v>
      </c>
      <c r="J20" s="274">
        <f t="shared" si="5"/>
        <v>72187368</v>
      </c>
      <c r="K20" s="274">
        <f t="shared" si="5"/>
        <v>72899242</v>
      </c>
      <c r="L20" s="274">
        <f>L21+L25</f>
        <v>73618234</v>
      </c>
      <c r="M20" s="300">
        <f>M21+M25</f>
        <v>74344416</v>
      </c>
      <c r="N20" s="275">
        <f>SUM(N21,N25)</f>
        <v>63500000</v>
      </c>
    </row>
    <row r="21" spans="1:14" s="25" customFormat="1" ht="15">
      <c r="A21" s="277" t="s">
        <v>80</v>
      </c>
      <c r="B21" s="278" t="s">
        <v>291</v>
      </c>
      <c r="C21" s="486">
        <v>61334812</v>
      </c>
      <c r="D21" s="284">
        <v>67061721</v>
      </c>
      <c r="E21" s="425">
        <f>ROUND(D21*101%,0)</f>
        <v>67732338</v>
      </c>
      <c r="F21" s="425">
        <f aca="true" t="shared" si="6" ref="F21:M21">ROUND(E21*101%,0)</f>
        <v>68409661</v>
      </c>
      <c r="G21" s="425">
        <f t="shared" si="6"/>
        <v>69093758</v>
      </c>
      <c r="H21" s="425">
        <f t="shared" si="6"/>
        <v>69784696</v>
      </c>
      <c r="I21" s="425">
        <f t="shared" si="6"/>
        <v>70482543</v>
      </c>
      <c r="J21" s="425">
        <f t="shared" si="6"/>
        <v>71187368</v>
      </c>
      <c r="K21" s="425">
        <f t="shared" si="6"/>
        <v>71899242</v>
      </c>
      <c r="L21" s="425">
        <f t="shared" si="6"/>
        <v>72618234</v>
      </c>
      <c r="M21" s="300">
        <f t="shared" si="6"/>
        <v>73344416</v>
      </c>
      <c r="N21" s="275">
        <v>63000000</v>
      </c>
    </row>
    <row r="22" spans="1:14" s="25" customFormat="1" ht="12.75" customHeight="1" hidden="1">
      <c r="A22" s="290" t="s">
        <v>367</v>
      </c>
      <c r="B22" s="279" t="s">
        <v>335</v>
      </c>
      <c r="C22" s="487">
        <v>4147048</v>
      </c>
      <c r="D22" s="280">
        <f aca="true" t="shared" si="7" ref="D22:K22">SUM(D23:D24)</f>
        <v>1344287</v>
      </c>
      <c r="E22" s="280">
        <f t="shared" si="7"/>
        <v>1246085</v>
      </c>
      <c r="F22" s="280">
        <f t="shared" si="7"/>
        <v>1066506</v>
      </c>
      <c r="G22" s="280">
        <f t="shared" si="7"/>
        <v>938349</v>
      </c>
      <c r="H22" s="280">
        <f t="shared" si="7"/>
        <v>701792</v>
      </c>
      <c r="I22" s="280">
        <f t="shared" si="7"/>
        <v>543482</v>
      </c>
      <c r="J22" s="280">
        <f t="shared" si="7"/>
        <v>315700</v>
      </c>
      <c r="K22" s="280">
        <f t="shared" si="7"/>
        <v>161100</v>
      </c>
      <c r="L22" s="280">
        <f>SUM(L23:L24)</f>
        <v>161100</v>
      </c>
      <c r="M22" s="299">
        <f>SUM(M23:M24)</f>
        <v>161100</v>
      </c>
      <c r="N22" s="281">
        <f>SUM(N23:N24)</f>
        <v>0</v>
      </c>
    </row>
    <row r="23" spans="1:14" s="25" customFormat="1" ht="12.75" customHeight="1" hidden="1">
      <c r="A23" s="291"/>
      <c r="B23" s="292" t="s">
        <v>336</v>
      </c>
      <c r="C23" s="487">
        <v>-2427636</v>
      </c>
      <c r="D23" s="280">
        <f>1623000-524713</f>
        <v>1098287</v>
      </c>
      <c r="E23" s="280">
        <v>1082085</v>
      </c>
      <c r="F23" s="280">
        <v>1066506</v>
      </c>
      <c r="G23" s="280">
        <v>938349</v>
      </c>
      <c r="H23" s="280">
        <v>701792</v>
      </c>
      <c r="I23" s="280">
        <v>543482</v>
      </c>
      <c r="J23" s="280">
        <v>315700</v>
      </c>
      <c r="K23" s="280">
        <v>161100</v>
      </c>
      <c r="L23" s="280">
        <v>161100</v>
      </c>
      <c r="M23" s="299">
        <v>161100</v>
      </c>
      <c r="N23" s="281"/>
    </row>
    <row r="24" spans="1:14" s="25" customFormat="1" ht="12.75" customHeight="1" hidden="1">
      <c r="A24" s="291"/>
      <c r="B24" s="292" t="s">
        <v>337</v>
      </c>
      <c r="C24" s="487">
        <v>23429971</v>
      </c>
      <c r="D24" s="280">
        <v>246000</v>
      </c>
      <c r="E24" s="280">
        <v>164000</v>
      </c>
      <c r="F24" s="280"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99">
        <v>0</v>
      </c>
      <c r="N24" s="281">
        <v>0</v>
      </c>
    </row>
    <row r="25" spans="1:14" s="25" customFormat="1" ht="15">
      <c r="A25" s="277" t="s">
        <v>295</v>
      </c>
      <c r="B25" s="278" t="s">
        <v>338</v>
      </c>
      <c r="C25" s="486">
        <v>4006718</v>
      </c>
      <c r="D25" s="274">
        <v>20545156</v>
      </c>
      <c r="E25" s="274">
        <v>18164621</v>
      </c>
      <c r="F25" s="274">
        <v>13566498</v>
      </c>
      <c r="G25" s="274">
        <v>2000000</v>
      </c>
      <c r="H25" s="274">
        <v>1000000</v>
      </c>
      <c r="I25" s="274">
        <v>1000000</v>
      </c>
      <c r="J25" s="274">
        <v>1000000</v>
      </c>
      <c r="K25" s="274">
        <v>1000000</v>
      </c>
      <c r="L25" s="274">
        <v>1000000</v>
      </c>
      <c r="M25" s="300">
        <v>1000000</v>
      </c>
      <c r="N25" s="275">
        <v>500000</v>
      </c>
    </row>
    <row r="26" spans="1:14" s="276" customFormat="1" ht="16.5">
      <c r="A26" s="272" t="s">
        <v>371</v>
      </c>
      <c r="B26" s="273" t="s">
        <v>339</v>
      </c>
      <c r="C26" s="486">
        <f aca="true" t="shared" si="8" ref="C26:K26">C11-C20</f>
        <v>903499</v>
      </c>
      <c r="D26" s="274">
        <f t="shared" si="8"/>
        <v>-3464769</v>
      </c>
      <c r="E26" s="274">
        <f t="shared" si="8"/>
        <v>579577</v>
      </c>
      <c r="F26" s="274">
        <f t="shared" si="8"/>
        <v>2587697</v>
      </c>
      <c r="G26" s="274">
        <f t="shared" si="8"/>
        <v>4649993</v>
      </c>
      <c r="H26" s="274">
        <f t="shared" si="8"/>
        <v>7283123</v>
      </c>
      <c r="I26" s="274">
        <f t="shared" si="8"/>
        <v>9070942</v>
      </c>
      <c r="J26" s="274">
        <f t="shared" si="8"/>
        <v>10815167</v>
      </c>
      <c r="K26" s="274">
        <f t="shared" si="8"/>
        <v>12717565</v>
      </c>
      <c r="L26" s="274">
        <f>L11-L20</f>
        <v>14679960</v>
      </c>
      <c r="M26" s="300">
        <f>M11-M20</f>
        <v>16514424</v>
      </c>
      <c r="N26" s="275">
        <f>N11-N20</f>
        <v>30084605.200000003</v>
      </c>
    </row>
    <row r="27" spans="1:14" s="294" customFormat="1" ht="38.25" customHeight="1">
      <c r="A27" s="272" t="s">
        <v>390</v>
      </c>
      <c r="B27" s="293" t="s">
        <v>340</v>
      </c>
      <c r="C27" s="274">
        <v>23429971</v>
      </c>
      <c r="D27" s="274">
        <f aca="true" t="shared" si="9" ref="D27:N27">SUM(C40)</f>
        <v>24701398</v>
      </c>
      <c r="E27" s="274">
        <f t="shared" si="9"/>
        <v>23508598</v>
      </c>
      <c r="F27" s="274">
        <f t="shared" si="9"/>
        <v>22929021</v>
      </c>
      <c r="G27" s="274">
        <f t="shared" si="9"/>
        <v>20341324</v>
      </c>
      <c r="H27" s="274">
        <f t="shared" si="9"/>
        <v>15691331</v>
      </c>
      <c r="I27" s="274">
        <f t="shared" si="9"/>
        <v>9112331</v>
      </c>
      <c r="J27" s="274">
        <f t="shared" si="9"/>
        <v>5887331</v>
      </c>
      <c r="K27" s="274">
        <f t="shared" si="9"/>
        <v>2734731</v>
      </c>
      <c r="L27" s="274">
        <f t="shared" si="9"/>
        <v>459731</v>
      </c>
      <c r="M27" s="300">
        <f t="shared" si="9"/>
        <v>0</v>
      </c>
      <c r="N27" s="275">
        <f t="shared" si="9"/>
        <v>0</v>
      </c>
    </row>
    <row r="28" spans="1:14" s="296" customFormat="1" ht="30" customHeight="1">
      <c r="A28" s="277" t="s">
        <v>413</v>
      </c>
      <c r="B28" s="286" t="s">
        <v>155</v>
      </c>
      <c r="C28" s="295">
        <v>4749027</v>
      </c>
      <c r="D28" s="295">
        <f>'Zał. nr 2'!F14</f>
        <v>3042914</v>
      </c>
      <c r="E28" s="295">
        <f>-E26+E32+E35+E38</f>
        <v>5088283</v>
      </c>
      <c r="F28" s="295">
        <f>-F26+F32+F35+F38</f>
        <v>3280163</v>
      </c>
      <c r="G28" s="274">
        <f>-G26+G32+G35+G38</f>
        <v>1156225</v>
      </c>
      <c r="H28" s="295">
        <v>0</v>
      </c>
      <c r="I28" s="295">
        <v>0</v>
      </c>
      <c r="J28" s="274">
        <v>0</v>
      </c>
      <c r="K28" s="295">
        <v>0</v>
      </c>
      <c r="L28" s="295">
        <v>0</v>
      </c>
      <c r="M28" s="430">
        <v>0</v>
      </c>
      <c r="N28" s="275">
        <f>240162+N31+N38</f>
        <v>3551162</v>
      </c>
    </row>
    <row r="29" spans="1:14" s="296" customFormat="1" ht="15" customHeight="1" hidden="1">
      <c r="A29" s="277">
        <v>2</v>
      </c>
      <c r="B29" s="286" t="s">
        <v>347</v>
      </c>
      <c r="C29" s="297">
        <v>0</v>
      </c>
      <c r="D29" s="125" t="s">
        <v>433</v>
      </c>
      <c r="E29" s="125" t="s">
        <v>433</v>
      </c>
      <c r="F29" s="125" t="s">
        <v>433</v>
      </c>
      <c r="G29" s="125" t="s">
        <v>433</v>
      </c>
      <c r="H29" s="125" t="s">
        <v>433</v>
      </c>
      <c r="I29" s="125" t="s">
        <v>433</v>
      </c>
      <c r="J29" s="125" t="s">
        <v>433</v>
      </c>
      <c r="K29" s="125" t="s">
        <v>433</v>
      </c>
      <c r="L29" s="125" t="s">
        <v>433</v>
      </c>
      <c r="M29" s="431" t="s">
        <v>433</v>
      </c>
      <c r="N29" s="298" t="s">
        <v>433</v>
      </c>
    </row>
    <row r="30" spans="1:14" s="296" customFormat="1" ht="15" customHeight="1">
      <c r="A30" s="277" t="s">
        <v>414</v>
      </c>
      <c r="B30" s="289" t="s">
        <v>79</v>
      </c>
      <c r="C30" s="297">
        <f aca="true" t="shared" si="10" ref="C30:M30">SUM(C31,C34,C38,C39)</f>
        <v>5047115</v>
      </c>
      <c r="D30" s="297">
        <f t="shared" si="10"/>
        <v>6135714</v>
      </c>
      <c r="E30" s="297">
        <f t="shared" si="10"/>
        <v>7872860</v>
      </c>
      <c r="F30" s="297">
        <f t="shared" si="10"/>
        <v>7817860</v>
      </c>
      <c r="G30" s="297">
        <f t="shared" si="10"/>
        <v>7286218</v>
      </c>
      <c r="H30" s="297">
        <f t="shared" si="10"/>
        <v>7839000</v>
      </c>
      <c r="I30" s="297">
        <f t="shared" si="10"/>
        <v>4265000</v>
      </c>
      <c r="J30" s="297">
        <f t="shared" si="10"/>
        <v>3922600</v>
      </c>
      <c r="K30" s="297">
        <f t="shared" si="10"/>
        <v>2814940</v>
      </c>
      <c r="L30" s="297">
        <f t="shared" si="10"/>
        <v>684731</v>
      </c>
      <c r="M30" s="431">
        <f t="shared" si="10"/>
        <v>0</v>
      </c>
      <c r="N30" s="298"/>
    </row>
    <row r="31" spans="1:14" s="296" customFormat="1" ht="30">
      <c r="A31" s="277" t="s">
        <v>80</v>
      </c>
      <c r="B31" s="286" t="s">
        <v>294</v>
      </c>
      <c r="C31" s="274">
        <f aca="true" t="shared" si="11" ref="C31:M31">SUM(C32:C33)</f>
        <v>3047115</v>
      </c>
      <c r="D31" s="274">
        <f t="shared" si="11"/>
        <v>5936314</v>
      </c>
      <c r="E31" s="274">
        <f t="shared" si="11"/>
        <v>5917860</v>
      </c>
      <c r="F31" s="274">
        <f t="shared" si="11"/>
        <v>5867860</v>
      </c>
      <c r="G31" s="274">
        <f t="shared" si="11"/>
        <v>5406218</v>
      </c>
      <c r="H31" s="274">
        <f t="shared" si="11"/>
        <v>4979000</v>
      </c>
      <c r="I31" s="274">
        <f t="shared" si="11"/>
        <v>1925000</v>
      </c>
      <c r="J31" s="274">
        <f t="shared" si="11"/>
        <v>1602600</v>
      </c>
      <c r="K31" s="274">
        <f t="shared" si="11"/>
        <v>475000</v>
      </c>
      <c r="L31" s="274">
        <f t="shared" si="11"/>
        <v>0</v>
      </c>
      <c r="M31" s="300">
        <f t="shared" si="11"/>
        <v>0</v>
      </c>
      <c r="N31" s="275">
        <v>2311000</v>
      </c>
    </row>
    <row r="32" spans="1:14" s="296" customFormat="1" ht="15" customHeight="1">
      <c r="A32" s="65" t="s">
        <v>81</v>
      </c>
      <c r="B32" s="279" t="s">
        <v>82</v>
      </c>
      <c r="C32" s="280">
        <v>1477600</v>
      </c>
      <c r="D32" s="280">
        <f>4167857+67857</f>
        <v>4235714</v>
      </c>
      <c r="E32" s="280">
        <v>4167860</v>
      </c>
      <c r="F32" s="280">
        <v>4367860</v>
      </c>
      <c r="G32" s="280">
        <v>4306218</v>
      </c>
      <c r="H32" s="280">
        <v>4079000</v>
      </c>
      <c r="I32" s="280">
        <v>1225000</v>
      </c>
      <c r="J32" s="280">
        <v>1152600</v>
      </c>
      <c r="K32" s="280">
        <v>275000</v>
      </c>
      <c r="L32" s="280">
        <v>0</v>
      </c>
      <c r="M32" s="299">
        <v>0</v>
      </c>
      <c r="N32" s="314">
        <v>0</v>
      </c>
    </row>
    <row r="33" spans="1:14" s="296" customFormat="1" ht="15" customHeight="1">
      <c r="A33" s="65" t="s">
        <v>368</v>
      </c>
      <c r="B33" s="279" t="s">
        <v>293</v>
      </c>
      <c r="C33" s="280">
        <v>1569515</v>
      </c>
      <c r="D33" s="280">
        <v>1700600</v>
      </c>
      <c r="E33" s="280">
        <v>1750000</v>
      </c>
      <c r="F33" s="280">
        <v>1500000</v>
      </c>
      <c r="G33" s="280">
        <v>1100000</v>
      </c>
      <c r="H33" s="280">
        <v>900000</v>
      </c>
      <c r="I33" s="280">
        <v>700000</v>
      </c>
      <c r="J33" s="280">
        <v>450000</v>
      </c>
      <c r="K33" s="280">
        <v>200000</v>
      </c>
      <c r="L33" s="280">
        <v>0</v>
      </c>
      <c r="M33" s="299">
        <v>0</v>
      </c>
      <c r="N33" s="299">
        <f>ROUND(N43*5%,0)</f>
        <v>12008</v>
      </c>
    </row>
    <row r="34" spans="1:14" s="296" customFormat="1" ht="30">
      <c r="A34" s="277" t="s">
        <v>295</v>
      </c>
      <c r="B34" s="286" t="s">
        <v>296</v>
      </c>
      <c r="C34" s="274">
        <f aca="true" t="shared" si="12" ref="C34:L34">SUM(C35:C37)</f>
        <v>0</v>
      </c>
      <c r="D34" s="274">
        <f t="shared" si="12"/>
        <v>199400</v>
      </c>
      <c r="E34" s="274">
        <f t="shared" si="12"/>
        <v>1955000</v>
      </c>
      <c r="F34" s="274">
        <f t="shared" si="12"/>
        <v>1950000</v>
      </c>
      <c r="G34" s="274">
        <f t="shared" si="12"/>
        <v>1880000</v>
      </c>
      <c r="H34" s="274">
        <f t="shared" si="12"/>
        <v>2860000</v>
      </c>
      <c r="I34" s="274">
        <f t="shared" si="12"/>
        <v>2340000</v>
      </c>
      <c r="J34" s="274">
        <f t="shared" si="12"/>
        <v>2320000</v>
      </c>
      <c r="K34" s="274">
        <f t="shared" si="12"/>
        <v>2339940</v>
      </c>
      <c r="L34" s="274">
        <f t="shared" si="12"/>
        <v>684731</v>
      </c>
      <c r="M34" s="300">
        <f>SUM(M35:M37)</f>
        <v>0</v>
      </c>
      <c r="N34" s="300"/>
    </row>
    <row r="35" spans="1:14" s="296" customFormat="1" ht="15" customHeight="1">
      <c r="A35" s="65" t="s">
        <v>81</v>
      </c>
      <c r="B35" s="279" t="s">
        <v>82</v>
      </c>
      <c r="C35" s="280">
        <v>0</v>
      </c>
      <c r="D35" s="280">
        <v>0</v>
      </c>
      <c r="E35" s="280">
        <v>1500000</v>
      </c>
      <c r="F35" s="280">
        <v>1500000</v>
      </c>
      <c r="G35" s="280">
        <v>1500000</v>
      </c>
      <c r="H35" s="280">
        <v>2500000</v>
      </c>
      <c r="I35" s="280">
        <v>2000000</v>
      </c>
      <c r="J35" s="280">
        <v>2000000</v>
      </c>
      <c r="K35" s="280">
        <v>2000000</v>
      </c>
      <c r="L35" s="280">
        <v>459731</v>
      </c>
      <c r="M35" s="299">
        <v>0</v>
      </c>
      <c r="N35" s="281"/>
    </row>
    <row r="36" spans="1:14" s="296" customFormat="1" ht="51" customHeight="1" hidden="1">
      <c r="A36" s="65" t="s">
        <v>368</v>
      </c>
      <c r="B36" s="279" t="s">
        <v>292</v>
      </c>
      <c r="C36" s="124">
        <v>0</v>
      </c>
      <c r="D36" s="124"/>
      <c r="E36" s="280"/>
      <c r="F36" s="280"/>
      <c r="G36" s="280"/>
      <c r="H36" s="280"/>
      <c r="I36" s="280"/>
      <c r="J36" s="280"/>
      <c r="K36" s="280"/>
      <c r="L36" s="280"/>
      <c r="M36" s="299"/>
      <c r="N36" s="281"/>
    </row>
    <row r="37" spans="1:14" s="296" customFormat="1" ht="15" customHeight="1">
      <c r="A37" s="65" t="s">
        <v>368</v>
      </c>
      <c r="B37" s="279" t="s">
        <v>293</v>
      </c>
      <c r="C37" s="280">
        <v>0</v>
      </c>
      <c r="D37" s="280">
        <v>199400</v>
      </c>
      <c r="E37" s="280">
        <v>455000</v>
      </c>
      <c r="F37" s="280">
        <v>450000</v>
      </c>
      <c r="G37" s="280">
        <v>380000</v>
      </c>
      <c r="H37" s="280">
        <v>360000</v>
      </c>
      <c r="I37" s="280">
        <v>340000</v>
      </c>
      <c r="J37" s="280">
        <v>320000</v>
      </c>
      <c r="K37" s="280">
        <f>250000+89940</f>
        <v>339940</v>
      </c>
      <c r="L37" s="280">
        <v>225000</v>
      </c>
      <c r="M37" s="299">
        <v>0</v>
      </c>
      <c r="N37" s="281"/>
    </row>
    <row r="38" spans="1:14" s="296" customFormat="1" ht="15" customHeight="1">
      <c r="A38" s="277" t="s">
        <v>299</v>
      </c>
      <c r="B38" s="286" t="s">
        <v>298</v>
      </c>
      <c r="C38" s="274">
        <v>2000000</v>
      </c>
      <c r="D38" s="274">
        <v>0</v>
      </c>
      <c r="E38" s="274">
        <v>0</v>
      </c>
      <c r="F38" s="274">
        <v>0</v>
      </c>
      <c r="G38" s="274">
        <v>0</v>
      </c>
      <c r="H38" s="274">
        <v>0</v>
      </c>
      <c r="I38" s="274">
        <v>0</v>
      </c>
      <c r="J38" s="274">
        <v>0</v>
      </c>
      <c r="K38" s="274">
        <v>0</v>
      </c>
      <c r="L38" s="274">
        <v>0</v>
      </c>
      <c r="M38" s="300">
        <v>0</v>
      </c>
      <c r="N38" s="275">
        <v>1000000</v>
      </c>
    </row>
    <row r="39" spans="1:14" s="296" customFormat="1" ht="15" customHeight="1">
      <c r="A39" s="277" t="s">
        <v>300</v>
      </c>
      <c r="B39" s="286" t="s">
        <v>297</v>
      </c>
      <c r="C39" s="274">
        <v>0</v>
      </c>
      <c r="D39" s="274">
        <v>0</v>
      </c>
      <c r="E39" s="274">
        <v>0</v>
      </c>
      <c r="F39" s="274">
        <v>0</v>
      </c>
      <c r="G39" s="274">
        <v>0</v>
      </c>
      <c r="H39" s="274">
        <v>0</v>
      </c>
      <c r="I39" s="274">
        <v>0</v>
      </c>
      <c r="J39" s="274">
        <v>0</v>
      </c>
      <c r="K39" s="274">
        <v>0</v>
      </c>
      <c r="L39" s="274">
        <v>0</v>
      </c>
      <c r="M39" s="300">
        <v>0</v>
      </c>
      <c r="N39" s="313">
        <v>0</v>
      </c>
    </row>
    <row r="40" spans="1:14" s="294" customFormat="1" ht="25.5" customHeight="1">
      <c r="A40" s="272" t="s">
        <v>415</v>
      </c>
      <c r="B40" s="293" t="s">
        <v>349</v>
      </c>
      <c r="C40" s="274">
        <f aca="true" t="shared" si="13" ref="C40:M40">SUM(C27+C28-C32-C35-C38)</f>
        <v>24701398</v>
      </c>
      <c r="D40" s="274">
        <f t="shared" si="13"/>
        <v>23508598</v>
      </c>
      <c r="E40" s="274">
        <f t="shared" si="13"/>
        <v>22929021</v>
      </c>
      <c r="F40" s="274">
        <f t="shared" si="13"/>
        <v>20341324</v>
      </c>
      <c r="G40" s="274">
        <f t="shared" si="13"/>
        <v>15691331</v>
      </c>
      <c r="H40" s="274">
        <f t="shared" si="13"/>
        <v>9112331</v>
      </c>
      <c r="I40" s="274">
        <f t="shared" si="13"/>
        <v>5887331</v>
      </c>
      <c r="J40" s="274">
        <f t="shared" si="13"/>
        <v>2734731</v>
      </c>
      <c r="K40" s="274">
        <f t="shared" si="13"/>
        <v>459731</v>
      </c>
      <c r="L40" s="274">
        <f t="shared" si="13"/>
        <v>0</v>
      </c>
      <c r="M40" s="300">
        <f t="shared" si="13"/>
        <v>0</v>
      </c>
      <c r="N40" s="275">
        <f>SUM(N27,N28,-N31,-N38)</f>
        <v>240162</v>
      </c>
    </row>
    <row r="41" spans="1:14" s="294" customFormat="1" ht="51" customHeight="1">
      <c r="A41" s="692" t="s">
        <v>417</v>
      </c>
      <c r="B41" s="555" t="s">
        <v>351</v>
      </c>
      <c r="C41" s="274">
        <f aca="true" t="shared" si="14" ref="C41:M41">SUM(C32,C35,C39,C38,C33,C37)</f>
        <v>5047115</v>
      </c>
      <c r="D41" s="274">
        <f t="shared" si="14"/>
        <v>6135714</v>
      </c>
      <c r="E41" s="274">
        <f t="shared" si="14"/>
        <v>7872860</v>
      </c>
      <c r="F41" s="274">
        <f t="shared" si="14"/>
        <v>7817860</v>
      </c>
      <c r="G41" s="274">
        <f t="shared" si="14"/>
        <v>7286218</v>
      </c>
      <c r="H41" s="274">
        <f t="shared" si="14"/>
        <v>7839000</v>
      </c>
      <c r="I41" s="274">
        <f t="shared" si="14"/>
        <v>4265000</v>
      </c>
      <c r="J41" s="274">
        <f t="shared" si="14"/>
        <v>3922600</v>
      </c>
      <c r="K41" s="274">
        <f t="shared" si="14"/>
        <v>2814940</v>
      </c>
      <c r="L41" s="274">
        <f t="shared" si="14"/>
        <v>684731</v>
      </c>
      <c r="M41" s="300">
        <f t="shared" si="14"/>
        <v>0</v>
      </c>
      <c r="N41" s="275">
        <f>SUM(N31:N38,N22)</f>
        <v>3323008</v>
      </c>
    </row>
    <row r="42" spans="1:14" s="303" customFormat="1" ht="17.25" customHeight="1">
      <c r="A42" s="693"/>
      <c r="B42" s="694"/>
      <c r="C42" s="301">
        <v>0.0786</v>
      </c>
      <c r="D42" s="301">
        <f aca="true" t="shared" si="15" ref="D42:N42">D41/D11</f>
        <v>0.07292084957034829</v>
      </c>
      <c r="E42" s="301">
        <f t="shared" si="15"/>
        <v>0.09104041817771238</v>
      </c>
      <c r="F42" s="301">
        <f t="shared" si="15"/>
        <v>0.09244919011261737</v>
      </c>
      <c r="G42" s="301">
        <f t="shared" si="15"/>
        <v>0.0961956320330637</v>
      </c>
      <c r="H42" s="301">
        <f t="shared" si="15"/>
        <v>0.10041269373747971</v>
      </c>
      <c r="I42" s="301">
        <f t="shared" si="15"/>
        <v>0.052946188485824046</v>
      </c>
      <c r="J42" s="301">
        <f t="shared" si="15"/>
        <v>0.047258797577688444</v>
      </c>
      <c r="K42" s="301">
        <f t="shared" si="15"/>
        <v>0.03287835763368283</v>
      </c>
      <c r="L42" s="301">
        <f t="shared" si="15"/>
        <v>0.007754756569539803</v>
      </c>
      <c r="M42" s="302">
        <f t="shared" si="15"/>
        <v>0</v>
      </c>
      <c r="N42" s="302">
        <f t="shared" si="15"/>
        <v>0.03550806238802191</v>
      </c>
    </row>
    <row r="43" spans="1:14" s="294" customFormat="1" ht="25.5" customHeight="1">
      <c r="A43" s="272" t="s">
        <v>417</v>
      </c>
      <c r="B43" s="293" t="s">
        <v>301</v>
      </c>
      <c r="C43" s="274">
        <f>SUM(C44:C45)</f>
        <v>24701398</v>
      </c>
      <c r="D43" s="274">
        <f aca="true" t="shared" si="16" ref="D43:K43">SUM(D44:D45)</f>
        <v>23508598</v>
      </c>
      <c r="E43" s="274">
        <f t="shared" si="16"/>
        <v>22929021</v>
      </c>
      <c r="F43" s="274">
        <f t="shared" si="16"/>
        <v>20341324</v>
      </c>
      <c r="G43" s="274">
        <f t="shared" si="16"/>
        <v>15691331</v>
      </c>
      <c r="H43" s="274">
        <f t="shared" si="16"/>
        <v>9112331</v>
      </c>
      <c r="I43" s="274">
        <f t="shared" si="16"/>
        <v>5887331</v>
      </c>
      <c r="J43" s="274">
        <f t="shared" si="16"/>
        <v>2734731</v>
      </c>
      <c r="K43" s="274">
        <f t="shared" si="16"/>
        <v>459731</v>
      </c>
      <c r="L43" s="274">
        <f>SUM(L44:L45)</f>
        <v>0</v>
      </c>
      <c r="M43" s="300">
        <f>SUM(M44:M45)</f>
        <v>0</v>
      </c>
      <c r="N43" s="275">
        <f>SUM(N44:N45)</f>
        <v>240162</v>
      </c>
    </row>
    <row r="44" spans="1:14" s="296" customFormat="1" ht="15" customHeight="1" hidden="1">
      <c r="A44" s="277">
        <v>1</v>
      </c>
      <c r="B44" s="286" t="s">
        <v>352</v>
      </c>
      <c r="C44" s="297">
        <v>24701398</v>
      </c>
      <c r="D44" s="125">
        <f aca="true" t="shared" si="17" ref="D44:M44">C44+D28-D32-D35</f>
        <v>23508598</v>
      </c>
      <c r="E44" s="125">
        <f t="shared" si="17"/>
        <v>22929021</v>
      </c>
      <c r="F44" s="125">
        <f t="shared" si="17"/>
        <v>20341324</v>
      </c>
      <c r="G44" s="125">
        <f t="shared" si="17"/>
        <v>15691331</v>
      </c>
      <c r="H44" s="125">
        <f t="shared" si="17"/>
        <v>9112331</v>
      </c>
      <c r="I44" s="125">
        <f t="shared" si="17"/>
        <v>5887331</v>
      </c>
      <c r="J44" s="125">
        <f t="shared" si="17"/>
        <v>2734731</v>
      </c>
      <c r="K44" s="125">
        <f t="shared" si="17"/>
        <v>459731</v>
      </c>
      <c r="L44" s="125">
        <f t="shared" si="17"/>
        <v>0</v>
      </c>
      <c r="M44" s="431">
        <f t="shared" si="17"/>
        <v>0</v>
      </c>
      <c r="N44" s="275">
        <f>M44+N28-N31</f>
        <v>1240162</v>
      </c>
    </row>
    <row r="45" spans="1:14" s="296" customFormat="1" ht="15" customHeight="1" hidden="1">
      <c r="A45" s="277">
        <v>2</v>
      </c>
      <c r="B45" s="286" t="s">
        <v>347</v>
      </c>
      <c r="C45" s="297">
        <v>0</v>
      </c>
      <c r="D45" s="125">
        <v>0</v>
      </c>
      <c r="E45" s="125">
        <v>0</v>
      </c>
      <c r="F45" s="125">
        <v>0</v>
      </c>
      <c r="G45" s="125">
        <f aca="true" t="shared" si="18" ref="G45:L45">F45-G38</f>
        <v>0</v>
      </c>
      <c r="H45" s="125">
        <f t="shared" si="18"/>
        <v>0</v>
      </c>
      <c r="I45" s="125">
        <f t="shared" si="18"/>
        <v>0</v>
      </c>
      <c r="J45" s="125">
        <f t="shared" si="18"/>
        <v>0</v>
      </c>
      <c r="K45" s="125">
        <f t="shared" si="18"/>
        <v>0</v>
      </c>
      <c r="L45" s="125">
        <f t="shared" si="18"/>
        <v>0</v>
      </c>
      <c r="M45" s="431">
        <f>L45-M38</f>
        <v>0</v>
      </c>
      <c r="N45" s="275">
        <f>M45-N38</f>
        <v>-1000000</v>
      </c>
    </row>
    <row r="46" spans="1:14" s="305" customFormat="1" ht="51">
      <c r="A46" s="304" t="s">
        <v>367</v>
      </c>
      <c r="B46" s="279" t="s">
        <v>302</v>
      </c>
      <c r="C46" s="210">
        <v>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  <c r="J46" s="210">
        <v>0</v>
      </c>
      <c r="K46" s="210">
        <v>0</v>
      </c>
      <c r="L46" s="210">
        <v>0</v>
      </c>
      <c r="M46" s="432">
        <v>0</v>
      </c>
      <c r="N46" s="287"/>
    </row>
    <row r="47" spans="1:14" s="308" customFormat="1" ht="21" customHeight="1">
      <c r="A47" s="285" t="s">
        <v>156</v>
      </c>
      <c r="B47" s="293" t="s">
        <v>103</v>
      </c>
      <c r="C47" s="306">
        <f aca="true" t="shared" si="19" ref="C47:N47">C43/C11</f>
        <v>0.3728792691750501</v>
      </c>
      <c r="D47" s="306">
        <f t="shared" si="19"/>
        <v>0.27939159784302053</v>
      </c>
      <c r="E47" s="306">
        <f t="shared" si="19"/>
        <v>0.2651473111735188</v>
      </c>
      <c r="F47" s="306">
        <f t="shared" si="19"/>
        <v>0.24054395059752243</v>
      </c>
      <c r="G47" s="306">
        <f t="shared" si="19"/>
        <v>0.20716337378115854</v>
      </c>
      <c r="H47" s="306">
        <f t="shared" si="19"/>
        <v>0.11672326852118156</v>
      </c>
      <c r="I47" s="306">
        <f t="shared" si="19"/>
        <v>0.07308598752741734</v>
      </c>
      <c r="J47" s="306">
        <f t="shared" si="19"/>
        <v>0.03294755997512606</v>
      </c>
      <c r="K47" s="306">
        <f t="shared" si="19"/>
        <v>0.005369634959640576</v>
      </c>
      <c r="L47" s="306">
        <f t="shared" si="19"/>
        <v>0</v>
      </c>
      <c r="M47" s="307">
        <f t="shared" si="19"/>
        <v>0</v>
      </c>
      <c r="N47" s="307">
        <f t="shared" si="19"/>
        <v>0.0025662554165479345</v>
      </c>
    </row>
    <row r="48" spans="1:14" s="311" customFormat="1" ht="25.5">
      <c r="A48" s="285" t="s">
        <v>157</v>
      </c>
      <c r="B48" s="293" t="s">
        <v>104</v>
      </c>
      <c r="C48" s="309">
        <f aca="true" t="shared" si="20" ref="C48:M48">(C41/C11)</f>
        <v>0.07618858465591433</v>
      </c>
      <c r="D48" s="309">
        <f t="shared" si="20"/>
        <v>0.07292084957034829</v>
      </c>
      <c r="E48" s="309">
        <f t="shared" si="20"/>
        <v>0.09104041817771238</v>
      </c>
      <c r="F48" s="309">
        <f t="shared" si="20"/>
        <v>0.09244919011261737</v>
      </c>
      <c r="G48" s="309">
        <f t="shared" si="20"/>
        <v>0.0961956320330637</v>
      </c>
      <c r="H48" s="309">
        <f t="shared" si="20"/>
        <v>0.10041269373747971</v>
      </c>
      <c r="I48" s="309">
        <f t="shared" si="20"/>
        <v>0.052946188485824046</v>
      </c>
      <c r="J48" s="309">
        <f t="shared" si="20"/>
        <v>0.047258797577688444</v>
      </c>
      <c r="K48" s="309">
        <f t="shared" si="20"/>
        <v>0.03287835763368283</v>
      </c>
      <c r="L48" s="309">
        <f t="shared" si="20"/>
        <v>0.007754756569539803</v>
      </c>
      <c r="M48" s="310">
        <f t="shared" si="20"/>
        <v>0</v>
      </c>
      <c r="N48" s="310"/>
    </row>
    <row r="49" spans="1:14" s="47" customFormat="1" ht="17.25" customHeight="1">
      <c r="A49" s="285" t="s">
        <v>158</v>
      </c>
      <c r="B49" s="293" t="s">
        <v>105</v>
      </c>
      <c r="C49" s="309">
        <f aca="true" t="shared" si="21" ref="C49:M49">C43/C11</f>
        <v>0.3728792691750501</v>
      </c>
      <c r="D49" s="309">
        <f t="shared" si="21"/>
        <v>0.27939159784302053</v>
      </c>
      <c r="E49" s="309">
        <f t="shared" si="21"/>
        <v>0.2651473111735188</v>
      </c>
      <c r="F49" s="309">
        <f t="shared" si="21"/>
        <v>0.24054395059752243</v>
      </c>
      <c r="G49" s="309">
        <f t="shared" si="21"/>
        <v>0.20716337378115854</v>
      </c>
      <c r="H49" s="309">
        <f t="shared" si="21"/>
        <v>0.11672326852118156</v>
      </c>
      <c r="I49" s="309">
        <f t="shared" si="21"/>
        <v>0.07308598752741734</v>
      </c>
      <c r="J49" s="309">
        <f t="shared" si="21"/>
        <v>0.03294755997512606</v>
      </c>
      <c r="K49" s="309">
        <f t="shared" si="21"/>
        <v>0.005369634959640576</v>
      </c>
      <c r="L49" s="309">
        <f t="shared" si="21"/>
        <v>0</v>
      </c>
      <c r="M49" s="310">
        <f t="shared" si="21"/>
        <v>0</v>
      </c>
      <c r="N49" s="310"/>
    </row>
    <row r="50" spans="1:14" s="47" customFormat="1" ht="24.75" customHeight="1">
      <c r="A50" s="285" t="s">
        <v>159</v>
      </c>
      <c r="B50" s="293" t="s">
        <v>106</v>
      </c>
      <c r="C50" s="309">
        <f aca="true" t="shared" si="22" ref="C50:M50">C41/C11</f>
        <v>0.07618858465591433</v>
      </c>
      <c r="D50" s="309">
        <f t="shared" si="22"/>
        <v>0.07292084957034829</v>
      </c>
      <c r="E50" s="309">
        <f t="shared" si="22"/>
        <v>0.09104041817771238</v>
      </c>
      <c r="F50" s="309">
        <f t="shared" si="22"/>
        <v>0.09244919011261737</v>
      </c>
      <c r="G50" s="309">
        <f t="shared" si="22"/>
        <v>0.0961956320330637</v>
      </c>
      <c r="H50" s="309">
        <f t="shared" si="22"/>
        <v>0.10041269373747971</v>
      </c>
      <c r="I50" s="309">
        <f t="shared" si="22"/>
        <v>0.052946188485824046</v>
      </c>
      <c r="J50" s="309">
        <f t="shared" si="22"/>
        <v>0.047258797577688444</v>
      </c>
      <c r="K50" s="309">
        <f t="shared" si="22"/>
        <v>0.03287835763368283</v>
      </c>
      <c r="L50" s="309">
        <f t="shared" si="22"/>
        <v>0.007754756569539803</v>
      </c>
      <c r="M50" s="310">
        <f t="shared" si="22"/>
        <v>0</v>
      </c>
      <c r="N50" s="310"/>
    </row>
    <row r="51" spans="1:13" ht="12.75">
      <c r="A51" s="42"/>
      <c r="D51" s="37"/>
      <c r="E51" s="37"/>
      <c r="F51" s="66"/>
      <c r="G51" s="42"/>
      <c r="H51" s="37"/>
      <c r="I51" s="37"/>
      <c r="J51" s="37"/>
      <c r="K51" s="37"/>
      <c r="L51" s="66"/>
      <c r="M51" s="42"/>
    </row>
    <row r="52" spans="1:14" ht="12.75" hidden="1">
      <c r="A52" s="42"/>
      <c r="D52" s="37"/>
      <c r="E52" s="37">
        <f>E40*5%</f>
        <v>1146451.05</v>
      </c>
      <c r="F52" s="37">
        <f aca="true" t="shared" si="23" ref="F52:N52">F40*5%</f>
        <v>1017066.2000000001</v>
      </c>
      <c r="G52" s="37">
        <f t="shared" si="23"/>
        <v>784566.55</v>
      </c>
      <c r="H52" s="37">
        <f t="shared" si="23"/>
        <v>455616.55000000005</v>
      </c>
      <c r="I52" s="37">
        <f t="shared" si="23"/>
        <v>294366.55</v>
      </c>
      <c r="J52" s="37">
        <f t="shared" si="23"/>
        <v>136736.55000000002</v>
      </c>
      <c r="K52" s="37">
        <f t="shared" si="23"/>
        <v>22986.550000000003</v>
      </c>
      <c r="L52" s="37">
        <f t="shared" si="23"/>
        <v>0</v>
      </c>
      <c r="M52" s="37">
        <f t="shared" si="23"/>
        <v>0</v>
      </c>
      <c r="N52" s="92">
        <f t="shared" si="23"/>
        <v>12008.1</v>
      </c>
    </row>
    <row r="53" spans="1:13" ht="12.75">
      <c r="A53" s="42"/>
      <c r="D53" s="37"/>
      <c r="E53" s="37"/>
      <c r="F53" s="66"/>
      <c r="G53" s="42"/>
      <c r="H53" s="37"/>
      <c r="I53" s="37"/>
      <c r="J53" s="37"/>
      <c r="K53" s="37"/>
      <c r="L53" s="66"/>
      <c r="M53" s="42"/>
    </row>
    <row r="54" spans="1:13" ht="12.75">
      <c r="A54" s="42"/>
      <c r="D54" s="37"/>
      <c r="E54" s="37"/>
      <c r="F54" s="66"/>
      <c r="G54" s="42"/>
      <c r="H54" s="37"/>
      <c r="I54" s="37"/>
      <c r="J54" s="37"/>
      <c r="K54" s="37"/>
      <c r="L54" s="66"/>
      <c r="M54" s="42"/>
    </row>
    <row r="55" spans="1:13" ht="12.75">
      <c r="A55" s="42"/>
      <c r="D55" s="37"/>
      <c r="E55" s="37"/>
      <c r="F55" s="66"/>
      <c r="G55" s="42"/>
      <c r="H55" s="37"/>
      <c r="I55" s="37"/>
      <c r="J55" s="37"/>
      <c r="K55" s="37"/>
      <c r="L55" s="66"/>
      <c r="M55" s="42"/>
    </row>
    <row r="56" spans="4:13" ht="12.75">
      <c r="D56" s="37"/>
      <c r="E56" s="37"/>
      <c r="F56" s="66"/>
      <c r="G56" s="37"/>
      <c r="H56" s="37"/>
      <c r="I56" s="37"/>
      <c r="J56" s="37"/>
      <c r="K56" s="37"/>
      <c r="L56" s="66"/>
      <c r="M56" s="37"/>
    </row>
    <row r="57" spans="4:13" ht="12.75">
      <c r="D57" s="37"/>
      <c r="E57" s="37"/>
      <c r="F57" s="66"/>
      <c r="G57" s="37"/>
      <c r="H57" s="37"/>
      <c r="I57" s="37"/>
      <c r="J57" s="37"/>
      <c r="K57" s="37"/>
      <c r="L57" s="66"/>
      <c r="M57" s="37"/>
    </row>
    <row r="58" spans="4:13" ht="12.75">
      <c r="D58" s="37"/>
      <c r="E58" s="37"/>
      <c r="F58" s="66"/>
      <c r="G58" s="37"/>
      <c r="H58" s="37"/>
      <c r="I58" s="37"/>
      <c r="J58" s="37"/>
      <c r="K58" s="37"/>
      <c r="L58" s="66"/>
      <c r="M58" s="37"/>
    </row>
    <row r="59" spans="4:13" ht="12.75">
      <c r="D59" s="37"/>
      <c r="E59" s="37"/>
      <c r="F59" s="66"/>
      <c r="G59" s="37"/>
      <c r="H59" s="37"/>
      <c r="I59" s="37"/>
      <c r="J59" s="37"/>
      <c r="K59" s="37"/>
      <c r="L59" s="66"/>
      <c r="M59" s="37"/>
    </row>
    <row r="60" spans="4:13" ht="12.75">
      <c r="D60" s="37"/>
      <c r="E60" s="37"/>
      <c r="F60" s="66"/>
      <c r="G60" s="37"/>
      <c r="H60" s="37"/>
      <c r="I60" s="37"/>
      <c r="J60" s="37"/>
      <c r="K60" s="37"/>
      <c r="L60" s="66"/>
      <c r="M60" s="37"/>
    </row>
    <row r="61" spans="4:13" ht="12.75"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4:13" ht="12.75"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4:13" ht="12.75"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4:13" ht="12.75"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4:13" ht="12.75"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4:13" ht="12.75"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4:13" ht="12.75"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4:13" ht="12.75"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4:13" ht="12.75"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4:13" ht="12.75"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4:13" ht="12.75"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4:13" ht="12.75">
      <c r="D72" s="37"/>
      <c r="E72" s="37"/>
      <c r="F72" s="37"/>
      <c r="G72" s="37"/>
      <c r="H72" s="37"/>
      <c r="I72" s="37"/>
      <c r="J72" s="37"/>
      <c r="K72" s="37"/>
      <c r="L72" s="37"/>
      <c r="M72" s="37"/>
    </row>
    <row r="73" spans="4:13" ht="12.75">
      <c r="D73" s="37"/>
      <c r="E73" s="37"/>
      <c r="F73" s="37"/>
      <c r="G73" s="37"/>
      <c r="H73" s="37"/>
      <c r="I73" s="37"/>
      <c r="J73" s="37"/>
      <c r="K73" s="37"/>
      <c r="L73" s="37"/>
      <c r="M73" s="37"/>
    </row>
    <row r="74" spans="4:13" ht="12.75">
      <c r="D74" s="37"/>
      <c r="E74" s="37"/>
      <c r="F74" s="37"/>
      <c r="G74" s="37"/>
      <c r="H74" s="37"/>
      <c r="I74" s="37"/>
      <c r="J74" s="37"/>
      <c r="K74" s="37"/>
      <c r="L74" s="37"/>
      <c r="M74" s="37"/>
    </row>
    <row r="75" spans="4:13" ht="12.75">
      <c r="D75" s="37"/>
      <c r="E75" s="37"/>
      <c r="F75" s="37"/>
      <c r="G75" s="37"/>
      <c r="H75" s="37"/>
      <c r="I75" s="37"/>
      <c r="J75" s="37"/>
      <c r="K75" s="37"/>
      <c r="L75" s="37"/>
      <c r="M75" s="37"/>
    </row>
  </sheetData>
  <mergeCells count="6">
    <mergeCell ref="K7:M7"/>
    <mergeCell ref="G7:J7"/>
    <mergeCell ref="A41:A42"/>
    <mergeCell ref="B41:B42"/>
    <mergeCell ref="C7:C8"/>
    <mergeCell ref="D7:F7"/>
  </mergeCells>
  <printOptions/>
  <pageMargins left="0.64" right="0.39" top="0.27" bottom="0.74" header="0.89" footer="0.34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2009-08-20T08:40:53Z</cp:lastPrinted>
  <dcterms:created xsi:type="dcterms:W3CDTF">1998-12-09T13:02:10Z</dcterms:created>
  <dcterms:modified xsi:type="dcterms:W3CDTF">2009-08-20T08:42:18Z</dcterms:modified>
  <cp:category/>
  <cp:version/>
  <cp:contentType/>
  <cp:contentStatus/>
</cp:coreProperties>
</file>