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5"/>
  </bookViews>
  <sheets>
    <sheet name="zał2-sfin" sheetId="1" r:id="rId1"/>
    <sheet name="zał3-prog wielol" sheetId="2" r:id="rId2"/>
    <sheet name="zał4-projekty unia" sheetId="3" r:id="rId3"/>
    <sheet name="zał.5-poroz" sheetId="4" r:id="rId4"/>
    <sheet name="zał6-progn" sheetId="5" r:id="rId5"/>
    <sheet name="zał7-syt finans" sheetId="6" r:id="rId6"/>
  </sheets>
  <definedNames>
    <definedName name="_xlnm.Print_Titles" localSheetId="3">'zał.5-poroz'!$8:$11</definedName>
    <definedName name="_xlnm.Print_Titles" localSheetId="1">'zał3-prog wielol'!$10:$13</definedName>
    <definedName name="_xlnm.Print_Titles" localSheetId="2">'zał4-projekty unia'!$7:$13</definedName>
    <definedName name="_xlnm.Print_Titles" localSheetId="4">'zał6-progn'!$A:$B</definedName>
    <definedName name="_xlnm.Print_Titles" localSheetId="5">'zał7-syt finans'!$A:$B</definedName>
  </definedNames>
  <calcPr fullCalcOnLoad="1"/>
</workbook>
</file>

<file path=xl/sharedStrings.xml><?xml version="1.0" encoding="utf-8"?>
<sst xmlns="http://schemas.openxmlformats.org/spreadsheetml/2006/main" count="810" uniqueCount="343">
  <si>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</si>
  <si>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</si>
  <si>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</si>
  <si>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</si>
  <si>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</si>
  <si>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</si>
  <si>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</si>
  <si>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</si>
  <si>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</si>
  <si>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</si>
  <si>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</si>
  <si>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</si>
  <si>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</si>
  <si>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</si>
  <si>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</si>
  <si>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</si>
  <si>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</si>
  <si>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</si>
  <si>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</si>
  <si>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</si>
  <si>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</si>
  <si>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</si>
  <si>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</si>
  <si>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</si>
  <si>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</si>
  <si>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</si>
  <si>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</si>
  <si>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</si>
  <si>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</si>
  <si>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</si>
  <si>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</si>
  <si>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</si>
  <si>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</si>
  <si>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</si>
  <si>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</si>
  <si>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</si>
  <si>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4.</t>
  </si>
  <si>
    <t>Dział</t>
  </si>
  <si>
    <t>Rozdział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</si>
  <si>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</si>
  <si>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</si>
  <si>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</si>
  <si>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</si>
  <si>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</si>
  <si>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</si>
  <si>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</si>
  <si>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</si>
  <si>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</si>
  <si>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</si>
  <si>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</si>
  <si>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</si>
  <si>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</si>
  <si>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</si>
  <si>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</si>
  <si>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</si>
  <si>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</si>
  <si>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</si>
  <si>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</si>
  <si>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</si>
  <si>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</si>
  <si>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</si>
  <si>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</si>
  <si>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</si>
  <si>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</si>
  <si>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</si>
  <si>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</si>
  <si>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</si>
  <si>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</si>
  <si>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</si>
  <si>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</si>
  <si>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</si>
  <si>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</si>
  <si>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</si>
  <si>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</si>
  <si>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</si>
  <si>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</si>
  <si>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</si>
  <si>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</si>
  <si>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</si>
  <si>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</si>
  <si>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</si>
  <si>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</si>
  <si>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</si>
  <si>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</si>
  <si>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</si>
  <si>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</si>
  <si>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</si>
  <si>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</si>
  <si>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</si>
  <si>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</si>
  <si>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</si>
  <si>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</si>
  <si>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</si>
  <si>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</si>
  <si>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</si>
  <si>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</si>
  <si>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</si>
  <si>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</si>
  <si>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RAZEM</t>
  </si>
  <si>
    <t>-</t>
  </si>
  <si>
    <t>Powiatowy Zarząd Dróg w Iławie</t>
  </si>
  <si>
    <t>9.</t>
  </si>
  <si>
    <t>10.</t>
  </si>
  <si>
    <t>Paragraf</t>
  </si>
  <si>
    <t>TRANSPORT I ŁĄCZNOŚĆ</t>
  </si>
  <si>
    <t>OŚWIATA I WYCHOWANIE</t>
  </si>
  <si>
    <t>Działanie 9.2 Podniesienie atrakcyjnosci i jakości szkolnictwa zawodowego</t>
  </si>
  <si>
    <t>Zajęcia pozalekcyjne dla uczniów szkół zawodowych powiatu iławskiego - ZSR Kisielice</t>
  </si>
  <si>
    <t>"Aktywizacja zawodowa i społeczna osób zagrożonych wykluczeniem społecznym z powiatu iławskiego - PCPR Iława</t>
  </si>
  <si>
    <t>"Wspólny cel - Wspólny rozwój" - Powiatowy Urząd Pracy</t>
  </si>
  <si>
    <t xml:space="preserve">Program Operacyjny Kapitał Ludzki </t>
  </si>
  <si>
    <t>Młodzież z przyszłością. Wyrównywanie szans edukacyjnych uczniów w Powiecie Iławskim - ZS Lubawa</t>
  </si>
  <si>
    <t>Młodość-start! Wyrównywanie szans młodziezy na współczesnym rynku pracy - ZS Susz</t>
  </si>
  <si>
    <t>WYDATKI OGÓŁEM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</si>
  <si>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</si>
  <si>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</si>
  <si>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</si>
  <si>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</si>
  <si>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</si>
  <si>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</si>
  <si>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</si>
  <si>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</si>
  <si>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</si>
  <si>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</si>
  <si>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</si>
  <si>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</si>
  <si>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</si>
  <si>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</si>
  <si>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</si>
  <si>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</si>
  <si>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</si>
  <si>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>Dotacja dla budżetu Miasta Katowice na pokrycie kosztów utrzymania dziecka w rodzinie zastępczej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</si>
  <si>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</si>
  <si>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</si>
  <si>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</si>
  <si>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</si>
  <si>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</si>
  <si>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</si>
  <si>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</si>
  <si>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</si>
  <si>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</si>
  <si>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</si>
  <si>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</si>
  <si>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</si>
  <si>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</si>
  <si>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</si>
  <si>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</si>
  <si>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</si>
  <si>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</si>
  <si>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</si>
  <si>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</si>
  <si>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</si>
  <si>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</si>
  <si>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</si>
  <si>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</si>
  <si>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</si>
  <si>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</si>
  <si>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</si>
  <si>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</si>
  <si>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</si>
  <si>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</si>
  <si>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</si>
  <si>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Ogółem (1+2)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</si>
  <si>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</si>
  <si>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</si>
  <si>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</si>
  <si>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</si>
  <si>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</si>
  <si>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</si>
  <si>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</si>
  <si>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</si>
  <si>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</si>
  <si>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</si>
  <si>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</si>
  <si>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</si>
  <si>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</si>
  <si>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</si>
  <si>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</si>
  <si>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</si>
  <si>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</si>
  <si>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</si>
  <si>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</si>
  <si>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</si>
  <si>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</si>
  <si>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</si>
  <si>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Priorytet 5. Infrastruktura transportowa regionalna i lokalna</t>
  </si>
  <si>
    <t>Wydatki na zakupy inwestycyjne jednostek budżetowych</t>
  </si>
  <si>
    <t>Wykonanie 2008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</si>
  <si>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</si>
  <si>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</si>
  <si>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</si>
  <si>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</si>
  <si>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</si>
  <si>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Działanie 5.2 Infrastruktura transportowa służąca rozwojowi lokalnemu</t>
  </si>
  <si>
    <t>2011 r.</t>
  </si>
  <si>
    <t>2012 r.</t>
  </si>
  <si>
    <t>2013 r.</t>
  </si>
  <si>
    <t>Przebudowa drogi powiatowej nr 1329 w Iławie, ulicy Dąbrowskiego i ul. Zalewskiej</t>
  </si>
  <si>
    <t>Rok 2010</t>
  </si>
  <si>
    <t>Zakup usług remontowych</t>
  </si>
  <si>
    <t>Wydatki inwestycyjne jednostek budżetowych</t>
  </si>
  <si>
    <t xml:space="preserve">                     Załącznik Nr 5</t>
  </si>
  <si>
    <t>Wynagrodzenia osobowe pracowników</t>
  </si>
  <si>
    <t>Świadczenia społeczne</t>
  </si>
  <si>
    <t>2.5</t>
  </si>
  <si>
    <t>2.6</t>
  </si>
  <si>
    <t>2.7</t>
  </si>
  <si>
    <t>Przebudowa drogi powiatowej Nr 1231N Gierłoż-Zielkowo-Byszwałd w miejsowości Byszwałd, gmina Lubawa</t>
  </si>
  <si>
    <t>Przebudowa drogi powiatowej Nr 1231N Gierłoż-Zielkowo-Byszwałd w miejsowości Byszwałd, gmina Lubawa (2007-2010)</t>
  </si>
  <si>
    <t xml:space="preserve">Przebudowa drogi powiatowej Nr 1208N Ogrodzieniec-Gardzień odcinek km 0+000-5+478 Ogrodzieniec-Trupel </t>
  </si>
  <si>
    <t>Przebudowa drogi powiatowej Nr 1208N Ogrodzieniec-Gardzień odcinek km 0+000-5+478 Ogrodzieniec-Trupel  (2005-2011)</t>
  </si>
  <si>
    <t>Program Operacyjny Kapitał Ludzki - ZSR KISIELICE</t>
  </si>
  <si>
    <t>Kredyty zaciągnięte w danym roku budżetowym:</t>
  </si>
  <si>
    <t>IX.1</t>
  </si>
  <si>
    <t>IX.2</t>
  </si>
  <si>
    <t>X.1</t>
  </si>
  <si>
    <t>X.2</t>
  </si>
  <si>
    <t>Plan na rok 2009</t>
  </si>
  <si>
    <t>Wykonanie 2008 r.</t>
  </si>
  <si>
    <t xml:space="preserve">                                      do Uchwały Rady Powiatu Nr XXV/180/09</t>
  </si>
  <si>
    <t xml:space="preserve">                     Załącznik Nr 7</t>
  </si>
  <si>
    <t>Wykonanie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</si>
  <si>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</si>
  <si>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</si>
  <si>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</si>
  <si>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</si>
  <si>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</si>
  <si>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</si>
  <si>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</si>
  <si>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</si>
  <si>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</si>
  <si>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</si>
  <si>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</si>
  <si>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</si>
  <si>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</si>
  <si>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</si>
  <si>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</si>
  <si>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</si>
  <si>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>Znakowanie turystyczne regionu Warmii i Mazur -12.470,-zł</t>
  </si>
  <si>
    <t>Porozumienie z Samorządem Województwa Warmińsko-Mazurskiego</t>
  </si>
  <si>
    <t>Miasto Iława - 584.391,-zł</t>
  </si>
  <si>
    <t>Zintegrowany system promocji turystycznej obszaru Kanału Elbląskiego "Program rozwoju turystuki w obszarze Kanału Elbląskiego i Pojezierza Iławskiego" - 88.800,-zł</t>
  </si>
  <si>
    <t>Rok 2011</t>
  </si>
  <si>
    <t>Rok budżetowy 2009 (6+7+8+9)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</si>
  <si>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</si>
  <si>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</si>
  <si>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</si>
  <si>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</si>
  <si>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Miasto Gmina Susz - 385.000,-</t>
  </si>
  <si>
    <t>Miasto Gmina Kisielice - 297.500,-</t>
  </si>
  <si>
    <t>Gmina Miejska Lubawa - 232.000,-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</si>
  <si>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</si>
  <si>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</si>
  <si>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</si>
  <si>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</si>
  <si>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</si>
  <si>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</si>
  <si>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Miasto Lubawa - 457.790,-zł</t>
  </si>
  <si>
    <t>Źródła sfinansowania deficytu lub rozdysponowanie                                                           nadwyżki budżetowej w 2009 r.</t>
  </si>
  <si>
    <t>* A Środki i dotacje otrzymane od innych jst oraz innych jednostek zaliczanych do sektora finansów publicznych</t>
  </si>
  <si>
    <t>Jednostka organizacyjna realizująca zadanie lub koordynująca program</t>
  </si>
  <si>
    <t>Wydatki razem (9+13)***</t>
  </si>
  <si>
    <t>Regionalny Program Operacyjny Warmia i Mazury na lata 2007-2013</t>
  </si>
  <si>
    <t>1.2</t>
  </si>
  <si>
    <t>Działanie 5.1 Rozbudowa i modernizacja infrastruktury transportowej warunkujacej rozwój regionalny</t>
  </si>
  <si>
    <t>Poprawa dostępności komunikacyjnej miasta - przebudowa drogi pow. ul. Rzepnikowskiego w Lubawie</t>
  </si>
  <si>
    <t>1.5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</si>
  <si>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</si>
  <si>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</si>
  <si>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</si>
  <si>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Priorytet 2. Turystyka</t>
  </si>
  <si>
    <t>Gmina Wiejska Lubawa: 11.580,-zł</t>
  </si>
  <si>
    <t>Działanie 2.1 Regionalny Program Operacyjny Warmia i Mazury 2007-2013 - Wzrost potencjału turystycznego</t>
  </si>
  <si>
    <t>Znakowanie turystyczne regionu Warmii i Mazur</t>
  </si>
  <si>
    <t>Dział 630 Rozdział 63003</t>
  </si>
  <si>
    <t>1.7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</si>
  <si>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</si>
  <si>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</si>
  <si>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</si>
  <si>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</si>
  <si>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2.1</t>
  </si>
  <si>
    <t>2.2</t>
  </si>
  <si>
    <t>Program Operacyjny Kapitał Ludzki</t>
  </si>
  <si>
    <t>Priorytet IX Rozwój wykształcenia i kompetencji w regionach</t>
  </si>
  <si>
    <t>Działanie 9.1 Wyrównywanie szans edukacyjnych i zapewnienie wysokiej jakości usług edukacyjnych świadczonych w systemie oświaty</t>
  </si>
  <si>
    <t>"Uwierz w siebie. Zajęcia pozalekcyjne i pozaszkolne dla uczniów z Zespołu Placówek Szkolno-Wychowawczych w Iławie"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</si>
  <si>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</si>
  <si>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</si>
  <si>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</si>
  <si>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</si>
  <si>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2.4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</si>
  <si>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</si>
  <si>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</si>
  <si>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</si>
  <si>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**     środki własne j.s.t., współfinansowanie z budżetu państwa oraz inne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</si>
  <si>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</si>
  <si>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</si>
  <si>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</si>
  <si>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</si>
  <si>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</si>
  <si>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</si>
  <si>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Limity wydatków na wieloletnie programy inwestycyjne w latach 2009-2011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</si>
  <si>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</si>
  <si>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</si>
  <si>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</si>
  <si>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</si>
  <si>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</si>
  <si>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</si>
  <si>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</si>
  <si>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</si>
  <si>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</si>
  <si>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</si>
  <si>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</si>
  <si>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Wydatki bieżące</t>
  </si>
  <si>
    <t>Nazwa</t>
  </si>
  <si>
    <t xml:space="preserve">                                      z dnia 26 lutego 2009roku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</si>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</sst>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3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2" fillId="0" borderId="0" xfId="0" applyFont="1" applyAlignment="1">
      <alignment horizontal="left"/>
    </xf>
    <xf numFmtId="4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15" fillId="0" borderId="0" xfId="0" applyFont="1" applyAlignment="1">
      <alignment/>
    </xf>
    <xf numFmtId="0" fontId="8" fillId="0" borderId="0" xfId="0" applyFont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3" fillId="0" borderId="0" xfId="17" applyFont="1">
      <alignment/>
      <protection/>
    </xf>
    <xf numFmtId="4" fontId="6" fillId="0" borderId="0" xfId="0" applyNumberFormat="1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2" fillId="0" borderId="20" xfId="0" applyNumberFormat="1" applyFont="1" applyBorder="1" applyAlignment="1">
      <alignment horizontal="righ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2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wrapText="1"/>
    </xf>
    <xf numFmtId="0" fontId="24" fillId="0" borderId="0" xfId="17" applyFont="1">
      <alignment/>
      <protection/>
    </xf>
    <xf numFmtId="0" fontId="24" fillId="0" borderId="10" xfId="17" applyFont="1" applyBorder="1">
      <alignment/>
      <protection/>
    </xf>
    <xf numFmtId="0" fontId="27" fillId="0" borderId="0" xfId="17" applyFont="1">
      <alignment/>
      <protection/>
    </xf>
    <xf numFmtId="0" fontId="2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23" fillId="0" borderId="3" xfId="17" applyFont="1" applyFill="1" applyBorder="1">
      <alignment/>
      <protection/>
    </xf>
    <xf numFmtId="3" fontId="23" fillId="0" borderId="10" xfId="17" applyNumberFormat="1" applyFont="1" applyBorder="1">
      <alignment/>
      <protection/>
    </xf>
    <xf numFmtId="0" fontId="23" fillId="0" borderId="10" xfId="17" applyFont="1" applyFill="1" applyBorder="1">
      <alignment/>
      <protection/>
    </xf>
    <xf numFmtId="3" fontId="23" fillId="0" borderId="16" xfId="17" applyNumberFormat="1" applyFont="1" applyBorder="1" applyAlignment="1">
      <alignment horizontal="center"/>
      <protection/>
    </xf>
    <xf numFmtId="3" fontId="23" fillId="0" borderId="17" xfId="17" applyNumberFormat="1" applyFont="1" applyBorder="1">
      <alignment/>
      <protection/>
    </xf>
    <xf numFmtId="3" fontId="23" fillId="0" borderId="8" xfId="17" applyNumberFormat="1" applyFont="1" applyBorder="1">
      <alignment/>
      <protection/>
    </xf>
    <xf numFmtId="3" fontId="23" fillId="0" borderId="18" xfId="17" applyNumberFormat="1" applyFont="1" applyBorder="1" applyAlignment="1">
      <alignment horizontal="center"/>
      <protection/>
    </xf>
    <xf numFmtId="3" fontId="23" fillId="0" borderId="17" xfId="17" applyNumberFormat="1" applyFont="1" applyBorder="1" applyAlignment="1">
      <alignment horizontal="center"/>
      <protection/>
    </xf>
    <xf numFmtId="3" fontId="23" fillId="0" borderId="19" xfId="17" applyNumberFormat="1" applyFont="1" applyBorder="1" applyAlignment="1">
      <alignment horizontal="center"/>
      <protection/>
    </xf>
    <xf numFmtId="3" fontId="23" fillId="0" borderId="20" xfId="17" applyNumberFormat="1" applyFont="1" applyBorder="1" applyAlignment="1">
      <alignment horizontal="center"/>
      <protection/>
    </xf>
    <xf numFmtId="3" fontId="23" fillId="0" borderId="21" xfId="17" applyNumberFormat="1" applyFont="1" applyBorder="1" applyAlignment="1">
      <alignment horizontal="center"/>
      <protection/>
    </xf>
    <xf numFmtId="3" fontId="23" fillId="0" borderId="22" xfId="17" applyNumberFormat="1" applyFont="1" applyBorder="1" applyAlignment="1">
      <alignment horizontal="center"/>
      <protection/>
    </xf>
    <xf numFmtId="3" fontId="23" fillId="0" borderId="23" xfId="17" applyNumberFormat="1" applyFont="1" applyBorder="1" applyAlignment="1">
      <alignment horizontal="center"/>
      <protection/>
    </xf>
    <xf numFmtId="3" fontId="23" fillId="0" borderId="24" xfId="17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/>
    </xf>
    <xf numFmtId="0" fontId="12" fillId="0" borderId="17" xfId="0" applyFont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29" fillId="0" borderId="25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3" fontId="29" fillId="2" borderId="27" xfId="0" applyNumberFormat="1" applyFont="1" applyFill="1" applyBorder="1" applyAlignment="1">
      <alignment vertical="center"/>
    </xf>
    <xf numFmtId="3" fontId="29" fillId="0" borderId="28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3" fillId="0" borderId="10" xfId="17" applyFont="1" applyBorder="1" applyAlignment="1">
      <alignment horizontal="center" vertical="center" wrapText="1"/>
      <protection/>
    </xf>
    <xf numFmtId="0" fontId="33" fillId="0" borderId="10" xfId="17" applyFont="1" applyBorder="1" applyAlignment="1">
      <alignment horizontal="center" vertical="center" wrapText="1"/>
      <protection/>
    </xf>
    <xf numFmtId="0" fontId="34" fillId="0" borderId="10" xfId="17" applyFont="1" applyFill="1" applyBorder="1" applyAlignment="1">
      <alignment horizontal="center" vertical="center"/>
      <protection/>
    </xf>
    <xf numFmtId="0" fontId="34" fillId="0" borderId="10" xfId="17" applyFont="1" applyBorder="1" applyAlignment="1">
      <alignment horizontal="center" vertical="center"/>
      <protection/>
    </xf>
    <xf numFmtId="0" fontId="21" fillId="0" borderId="10" xfId="17" applyFont="1" applyFill="1" applyBorder="1" applyAlignment="1">
      <alignment horizontal="center"/>
      <protection/>
    </xf>
    <xf numFmtId="0" fontId="21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35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35" fillId="0" borderId="10" xfId="18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5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1" fillId="0" borderId="10" xfId="17" applyNumberFormat="1" applyFont="1" applyBorder="1">
      <alignment/>
      <protection/>
    </xf>
    <xf numFmtId="0" fontId="23" fillId="0" borderId="0" xfId="17" applyFont="1">
      <alignment/>
      <protection/>
    </xf>
    <xf numFmtId="3" fontId="23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4" fontId="20" fillId="0" borderId="23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36" fillId="0" borderId="24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3" fontId="23" fillId="0" borderId="10" xfId="17" applyNumberFormat="1" applyFont="1" applyFill="1" applyBorder="1">
      <alignment/>
      <protection/>
    </xf>
    <xf numFmtId="3" fontId="23" fillId="0" borderId="17" xfId="17" applyNumberFormat="1" applyFont="1" applyFill="1" applyBorder="1">
      <alignment/>
      <protection/>
    </xf>
    <xf numFmtId="3" fontId="23" fillId="0" borderId="8" xfId="17" applyNumberFormat="1" applyFont="1" applyFill="1" applyBorder="1">
      <alignment/>
      <protection/>
    </xf>
    <xf numFmtId="3" fontId="23" fillId="0" borderId="18" xfId="17" applyNumberFormat="1" applyFont="1" applyFill="1" applyBorder="1" applyAlignment="1">
      <alignment horizontal="center"/>
      <protection/>
    </xf>
    <xf numFmtId="3" fontId="23" fillId="0" borderId="17" xfId="17" applyNumberFormat="1" applyFont="1" applyFill="1" applyBorder="1" applyAlignment="1">
      <alignment horizontal="center"/>
      <protection/>
    </xf>
    <xf numFmtId="3" fontId="23" fillId="0" borderId="19" xfId="17" applyNumberFormat="1" applyFont="1" applyFill="1" applyBorder="1" applyAlignment="1">
      <alignment horizontal="center"/>
      <protection/>
    </xf>
    <xf numFmtId="3" fontId="23" fillId="0" borderId="20" xfId="17" applyNumberFormat="1" applyFont="1" applyFill="1" applyBorder="1" applyAlignment="1">
      <alignment horizontal="center"/>
      <protection/>
    </xf>
    <xf numFmtId="3" fontId="23" fillId="0" borderId="21" xfId="17" applyNumberFormat="1" applyFont="1" applyFill="1" applyBorder="1" applyAlignment="1">
      <alignment horizontal="center"/>
      <protection/>
    </xf>
    <xf numFmtId="3" fontId="23" fillId="0" borderId="22" xfId="17" applyNumberFormat="1" applyFont="1" applyFill="1" applyBorder="1" applyAlignment="1">
      <alignment horizontal="center"/>
      <protection/>
    </xf>
    <xf numFmtId="3" fontId="23" fillId="0" borderId="23" xfId="17" applyNumberFormat="1" applyFont="1" applyFill="1" applyBorder="1" applyAlignment="1">
      <alignment horizontal="center"/>
      <protection/>
    </xf>
    <xf numFmtId="3" fontId="23" fillId="0" borderId="16" xfId="17" applyNumberFormat="1" applyFont="1" applyFill="1" applyBorder="1" applyAlignment="1">
      <alignment horizontal="center"/>
      <protection/>
    </xf>
    <xf numFmtId="3" fontId="23" fillId="0" borderId="24" xfId="17" applyNumberFormat="1" applyFont="1" applyFill="1" applyBorder="1" applyAlignment="1">
      <alignment horizontal="center"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 vertical="center" wrapText="1"/>
      <protection/>
    </xf>
    <xf numFmtId="0" fontId="24" fillId="0" borderId="10" xfId="17" applyFont="1" applyFill="1" applyBorder="1" applyAlignment="1">
      <alignment horizontal="center" vertic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21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5" fillId="0" borderId="17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vertical="center"/>
    </xf>
    <xf numFmtId="4" fontId="35" fillId="0" borderId="3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3" fontId="35" fillId="0" borderId="16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3" fontId="23" fillId="0" borderId="8" xfId="17" applyNumberFormat="1" applyFont="1" applyFill="1" applyBorder="1" applyAlignment="1">
      <alignment horizontal="center"/>
      <protection/>
    </xf>
    <xf numFmtId="3" fontId="23" fillId="0" borderId="10" xfId="17" applyNumberFormat="1" applyFont="1" applyFill="1" applyBorder="1" applyAlignment="1">
      <alignment horizontal="center"/>
      <protection/>
    </xf>
    <xf numFmtId="3" fontId="23" fillId="0" borderId="3" xfId="17" applyNumberFormat="1" applyFont="1" applyFill="1" applyBorder="1" applyAlignment="1">
      <alignment horizontal="center"/>
      <protection/>
    </xf>
    <xf numFmtId="0" fontId="9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vertical="center" wrapText="1"/>
    </xf>
    <xf numFmtId="4" fontId="12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3" fontId="24" fillId="0" borderId="16" xfId="17" applyNumberFormat="1" applyFont="1" applyBorder="1" applyAlignment="1">
      <alignment horizontal="center"/>
      <protection/>
    </xf>
    <xf numFmtId="3" fontId="0" fillId="0" borderId="3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center"/>
      <protection/>
    </xf>
    <xf numFmtId="0" fontId="24" fillId="0" borderId="10" xfId="17" applyFont="1" applyFill="1" applyBorder="1">
      <alignment/>
      <protection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3" fillId="0" borderId="16" xfId="17" applyFont="1" applyFill="1" applyBorder="1">
      <alignment/>
      <protection/>
    </xf>
    <xf numFmtId="0" fontId="23" fillId="0" borderId="10" xfId="1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 wrapText="1"/>
    </xf>
    <xf numFmtId="3" fontId="12" fillId="0" borderId="21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3" fillId="0" borderId="17" xfId="17" applyFont="1" applyBorder="1" applyAlignment="1">
      <alignment horizontal="center" vertical="center"/>
      <protection/>
    </xf>
    <xf numFmtId="0" fontId="23" fillId="0" borderId="21" xfId="17" applyFont="1" applyBorder="1" applyAlignment="1">
      <alignment horizontal="center" vertical="center"/>
      <protection/>
    </xf>
    <xf numFmtId="0" fontId="23" fillId="0" borderId="16" xfId="17" applyFont="1" applyBorder="1" applyAlignment="1">
      <alignment horizontal="center" vertical="center"/>
      <protection/>
    </xf>
    <xf numFmtId="0" fontId="23" fillId="0" borderId="17" xfId="17" applyFont="1" applyBorder="1" applyAlignment="1">
      <alignment horizontal="center" vertical="center" wrapText="1"/>
      <protection/>
    </xf>
    <xf numFmtId="0" fontId="23" fillId="0" borderId="21" xfId="17" applyFont="1" applyBorder="1" applyAlignment="1">
      <alignment horizontal="center" vertical="center" wrapText="1"/>
      <protection/>
    </xf>
    <xf numFmtId="0" fontId="23" fillId="0" borderId="16" xfId="17" applyFont="1" applyBorder="1" applyAlignment="1">
      <alignment horizontal="center" vertical="center" wrapText="1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/>
      <protection/>
    </xf>
    <xf numFmtId="0" fontId="23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3" fillId="0" borderId="18" xfId="17" applyFont="1" applyFill="1" applyBorder="1" applyAlignment="1">
      <alignment horizontal="left" vertical="center"/>
      <protection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3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4" fillId="0" borderId="17" xfId="17" applyNumberFormat="1" applyFont="1" applyBorder="1" applyAlignment="1">
      <alignment horizontal="center"/>
      <protection/>
    </xf>
    <xf numFmtId="3" fontId="24" fillId="0" borderId="21" xfId="17" applyNumberFormat="1" applyFont="1" applyBorder="1" applyAlignment="1">
      <alignment horizontal="center"/>
      <protection/>
    </xf>
    <xf numFmtId="3" fontId="24" fillId="0" borderId="16" xfId="17" applyNumberFormat="1" applyFont="1" applyBorder="1" applyAlignment="1">
      <alignment horizontal="center"/>
      <protection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21" xfId="17" applyFont="1" applyFill="1" applyBorder="1" applyAlignment="1">
      <alignment horizontal="center" vertical="center"/>
      <protection/>
    </xf>
    <xf numFmtId="0" fontId="23" fillId="0" borderId="17" xfId="17" applyFont="1" applyFill="1" applyBorder="1" applyAlignment="1">
      <alignment horizontal="center" vertical="center" wrapText="1"/>
      <protection/>
    </xf>
    <xf numFmtId="0" fontId="23" fillId="0" borderId="21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23" fillId="0" borderId="17" xfId="17" applyFont="1" applyFill="1" applyBorder="1" applyAlignment="1">
      <alignment horizontal="center" vertical="center"/>
      <protection/>
    </xf>
    <xf numFmtId="0" fontId="23" fillId="0" borderId="16" xfId="17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horizontal="left" vertical="center"/>
    </xf>
    <xf numFmtId="0" fontId="23" fillId="0" borderId="8" xfId="17" applyFont="1" applyBorder="1" applyAlignment="1">
      <alignment horizontal="center"/>
      <protection/>
    </xf>
    <xf numFmtId="0" fontId="23" fillId="0" borderId="3" xfId="17" applyFont="1" applyBorder="1" applyAlignment="1">
      <alignment horizontal="center"/>
      <protection/>
    </xf>
    <xf numFmtId="0" fontId="23" fillId="0" borderId="0" xfId="17" applyFont="1" applyAlignment="1">
      <alignment horizontal="left"/>
      <protection/>
    </xf>
    <xf numFmtId="0" fontId="21" fillId="0" borderId="10" xfId="17" applyFont="1" applyBorder="1" applyAlignment="1">
      <alignment horizont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21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21" fillId="0" borderId="0" xfId="17" applyFont="1" applyAlignment="1">
      <alignment horizontal="center"/>
      <protection/>
    </xf>
    <xf numFmtId="0" fontId="23" fillId="0" borderId="10" xfId="17" applyFont="1" applyBorder="1" applyAlignment="1">
      <alignment horizontal="center" vertical="center"/>
      <protection/>
    </xf>
    <xf numFmtId="0" fontId="23" fillId="0" borderId="10" xfId="17" applyFont="1" applyBorder="1" applyAlignment="1">
      <alignment horizontal="center" vertical="center" wrapText="1"/>
      <protection/>
    </xf>
    <xf numFmtId="3" fontId="23" fillId="0" borderId="17" xfId="17" applyNumberFormat="1" applyFont="1" applyFill="1" applyBorder="1" applyAlignment="1">
      <alignment horizontal="center"/>
      <protection/>
    </xf>
    <xf numFmtId="3" fontId="23" fillId="0" borderId="21" xfId="17" applyNumberFormat="1" applyFont="1" applyFill="1" applyBorder="1" applyAlignment="1">
      <alignment horizontal="center"/>
      <protection/>
    </xf>
    <xf numFmtId="3" fontId="24" fillId="0" borderId="17" xfId="17" applyNumberFormat="1" applyFont="1" applyFill="1" applyBorder="1" applyAlignment="1">
      <alignment horizontal="center"/>
      <protection/>
    </xf>
    <xf numFmtId="3" fontId="24" fillId="0" borderId="21" xfId="17" applyNumberFormat="1" applyFont="1" applyFill="1" applyBorder="1" applyAlignment="1">
      <alignment horizontal="center"/>
      <protection/>
    </xf>
    <xf numFmtId="3" fontId="24" fillId="0" borderId="16" xfId="1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E18" sqref="E18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91" customFormat="1" ht="19.5" customHeight="1">
      <c r="A1" s="533" t="s">
        <v>258</v>
      </c>
      <c r="B1" s="533"/>
      <c r="C1" s="533"/>
      <c r="D1" s="533"/>
      <c r="E1" s="533"/>
      <c r="F1" s="533"/>
    </row>
    <row r="2" spans="1:6" s="91" customFormat="1" ht="15" customHeight="1">
      <c r="A2" s="533"/>
      <c r="B2" s="533"/>
      <c r="C2" s="533"/>
      <c r="D2" s="533"/>
      <c r="E2" s="533"/>
      <c r="F2" s="533"/>
    </row>
    <row r="3" s="91" customFormat="1" ht="13.5" thickBot="1">
      <c r="F3" s="189" t="s">
        <v>91</v>
      </c>
    </row>
    <row r="4" spans="1:6" s="91" customFormat="1" ht="15.75" thickBot="1">
      <c r="A4" s="155" t="s">
        <v>41</v>
      </c>
      <c r="B4" s="155" t="s">
        <v>39</v>
      </c>
      <c r="C4" s="155" t="s">
        <v>56</v>
      </c>
      <c r="D4" s="156" t="s">
        <v>56</v>
      </c>
      <c r="E4" s="531" t="s">
        <v>40</v>
      </c>
      <c r="F4" s="532"/>
    </row>
    <row r="5" spans="1:6" s="91" customFormat="1" ht="30.75" thickBot="1">
      <c r="A5" s="157"/>
      <c r="B5" s="157"/>
      <c r="C5" s="158" t="s">
        <v>57</v>
      </c>
      <c r="D5" s="159" t="s">
        <v>342</v>
      </c>
      <c r="E5" s="153" t="s">
        <v>218</v>
      </c>
      <c r="F5" s="153" t="s">
        <v>217</v>
      </c>
    </row>
    <row r="6" spans="1:6" s="91" customFormat="1" ht="9" customHeight="1" thickBot="1">
      <c r="A6" s="154">
        <v>1</v>
      </c>
      <c r="B6" s="154">
        <v>2</v>
      </c>
      <c r="C6" s="154">
        <v>3</v>
      </c>
      <c r="D6" s="154"/>
      <c r="E6" s="154">
        <v>3</v>
      </c>
      <c r="F6" s="154">
        <v>4</v>
      </c>
    </row>
    <row r="7" spans="1:6" s="91" customFormat="1" ht="19.5" customHeight="1">
      <c r="A7" s="160" t="s">
        <v>42</v>
      </c>
      <c r="B7" s="161" t="s">
        <v>58</v>
      </c>
      <c r="C7" s="92"/>
      <c r="D7" s="92"/>
      <c r="E7" s="143">
        <v>66245029</v>
      </c>
      <c r="F7" s="143">
        <v>81766246</v>
      </c>
    </row>
    <row r="8" spans="1:6" s="91" customFormat="1" ht="19.5" customHeight="1">
      <c r="A8" s="162" t="s">
        <v>46</v>
      </c>
      <c r="B8" s="163" t="s">
        <v>59</v>
      </c>
      <c r="C8" s="93"/>
      <c r="D8" s="93"/>
      <c r="E8" s="144">
        <v>65341530</v>
      </c>
      <c r="F8" s="144">
        <v>85241587</v>
      </c>
    </row>
    <row r="9" spans="1:6" s="91" customFormat="1" ht="19.5" customHeight="1" hidden="1">
      <c r="A9" s="164"/>
      <c r="B9" s="165"/>
      <c r="C9" s="93"/>
      <c r="D9" s="93"/>
      <c r="E9" s="144"/>
      <c r="F9" s="144"/>
    </row>
    <row r="10" spans="1:6" s="91" customFormat="1" ht="19.5" customHeight="1">
      <c r="A10" s="162"/>
      <c r="B10" s="163" t="s">
        <v>81</v>
      </c>
      <c r="C10" s="93"/>
      <c r="D10" s="93"/>
      <c r="E10" s="144">
        <f>E7-E8</f>
        <v>903499</v>
      </c>
      <c r="F10" s="144">
        <f>F7-F8</f>
        <v>-3475341</v>
      </c>
    </row>
    <row r="11" spans="1:6" s="91" customFormat="1" ht="0.75" customHeight="1" thickBot="1">
      <c r="A11" s="166"/>
      <c r="B11" s="161"/>
      <c r="C11" s="92"/>
      <c r="D11" s="92"/>
      <c r="E11" s="143"/>
      <c r="F11" s="143"/>
    </row>
    <row r="12" spans="1:6" s="91" customFormat="1" ht="19.5" customHeight="1" thickBot="1">
      <c r="A12" s="167"/>
      <c r="B12" s="168" t="s">
        <v>89</v>
      </c>
      <c r="C12" s="94"/>
      <c r="D12" s="94"/>
      <c r="E12" s="145">
        <f>E13-E23</f>
        <v>-903499</v>
      </c>
      <c r="F12" s="145">
        <f>F13-F23</f>
        <v>3475341</v>
      </c>
    </row>
    <row r="13" spans="1:6" s="91" customFormat="1" ht="19.5" customHeight="1" thickBot="1">
      <c r="A13" s="169" t="s">
        <v>47</v>
      </c>
      <c r="B13" s="170" t="s">
        <v>67</v>
      </c>
      <c r="C13" s="95"/>
      <c r="D13" s="95"/>
      <c r="E13" s="146">
        <f>SUM(E14:E22)</f>
        <v>7163813</v>
      </c>
      <c r="F13" s="146">
        <f>SUM(F14:F22)</f>
        <v>7643198</v>
      </c>
    </row>
    <row r="14" spans="1:6" s="91" customFormat="1" ht="19.5" customHeight="1">
      <c r="A14" s="171" t="s">
        <v>43</v>
      </c>
      <c r="B14" s="172" t="s">
        <v>0</v>
      </c>
      <c r="C14" s="96" t="s">
        <v>77</v>
      </c>
      <c r="D14" s="184" t="s">
        <v>77</v>
      </c>
      <c r="E14" s="147">
        <v>4749027</v>
      </c>
      <c r="F14" s="147">
        <f>-F10+F23-F22-F19</f>
        <v>3053486</v>
      </c>
    </row>
    <row r="15" spans="1:6" s="91" customFormat="1" ht="19.5" customHeight="1">
      <c r="A15" s="173" t="s">
        <v>44</v>
      </c>
      <c r="B15" s="174" t="s">
        <v>82</v>
      </c>
      <c r="C15" s="97" t="s">
        <v>77</v>
      </c>
      <c r="D15" s="185" t="s">
        <v>77</v>
      </c>
      <c r="E15" s="148">
        <v>0</v>
      </c>
      <c r="F15" s="148">
        <v>0</v>
      </c>
    </row>
    <row r="16" spans="1:6" s="91" customFormat="1" ht="45">
      <c r="A16" s="162" t="s">
        <v>45</v>
      </c>
      <c r="B16" s="175" t="s">
        <v>1</v>
      </c>
      <c r="C16" s="98"/>
      <c r="D16" s="186" t="s">
        <v>2</v>
      </c>
      <c r="E16" s="148">
        <v>0</v>
      </c>
      <c r="F16" s="148">
        <v>0</v>
      </c>
    </row>
    <row r="17" spans="1:6" s="91" customFormat="1" ht="19.5" customHeight="1">
      <c r="A17" s="162" t="s">
        <v>36</v>
      </c>
      <c r="B17" s="176" t="s">
        <v>68</v>
      </c>
      <c r="C17" s="98" t="s">
        <v>78</v>
      </c>
      <c r="D17" s="186" t="s">
        <v>3</v>
      </c>
      <c r="E17" s="148">
        <v>0</v>
      </c>
      <c r="F17" s="148">
        <v>0</v>
      </c>
    </row>
    <row r="18" spans="1:6" s="91" customFormat="1" ht="19.5" customHeight="1">
      <c r="A18" s="162" t="s">
        <v>49</v>
      </c>
      <c r="B18" s="176" t="s">
        <v>69</v>
      </c>
      <c r="C18" s="98" t="s">
        <v>79</v>
      </c>
      <c r="D18" s="186" t="s">
        <v>4</v>
      </c>
      <c r="E18" s="148">
        <v>0</v>
      </c>
      <c r="F18" s="148">
        <v>0</v>
      </c>
    </row>
    <row r="19" spans="1:6" s="91" customFormat="1" ht="21.75" customHeight="1">
      <c r="A19" s="162" t="s">
        <v>53</v>
      </c>
      <c r="B19" s="176" t="s">
        <v>60</v>
      </c>
      <c r="C19" s="98" t="s">
        <v>80</v>
      </c>
      <c r="D19" s="186" t="s">
        <v>80</v>
      </c>
      <c r="E19" s="148">
        <v>0</v>
      </c>
      <c r="F19" s="148">
        <v>903499</v>
      </c>
    </row>
    <row r="20" spans="1:6" s="91" customFormat="1" ht="19.5" customHeight="1">
      <c r="A20" s="162" t="s">
        <v>63</v>
      </c>
      <c r="B20" s="176" t="s">
        <v>5</v>
      </c>
      <c r="C20" s="98"/>
      <c r="D20" s="186" t="s">
        <v>6</v>
      </c>
      <c r="E20" s="148">
        <v>0</v>
      </c>
      <c r="F20" s="148">
        <v>0</v>
      </c>
    </row>
    <row r="21" spans="1:6" s="91" customFormat="1" ht="19.5" customHeight="1">
      <c r="A21" s="177" t="s">
        <v>66</v>
      </c>
      <c r="B21" s="178" t="s">
        <v>7</v>
      </c>
      <c r="C21" s="96"/>
      <c r="D21" s="185" t="s">
        <v>8</v>
      </c>
      <c r="E21" s="148">
        <v>0</v>
      </c>
      <c r="F21" s="148">
        <v>0</v>
      </c>
    </row>
    <row r="22" spans="1:6" s="91" customFormat="1" ht="19.5" customHeight="1" thickBot="1">
      <c r="A22" s="177" t="s">
        <v>101</v>
      </c>
      <c r="B22" s="178" t="s">
        <v>9</v>
      </c>
      <c r="C22" s="99" t="s">
        <v>78</v>
      </c>
      <c r="D22" s="185" t="s">
        <v>78</v>
      </c>
      <c r="E22" s="149">
        <v>2414786</v>
      </c>
      <c r="F22" s="149">
        <v>3686213</v>
      </c>
    </row>
    <row r="23" spans="1:6" s="91" customFormat="1" ht="19.5" customHeight="1" thickBot="1">
      <c r="A23" s="169" t="s">
        <v>65</v>
      </c>
      <c r="B23" s="179" t="s">
        <v>70</v>
      </c>
      <c r="C23" s="100"/>
      <c r="D23" s="169"/>
      <c r="E23" s="146">
        <f>SUM(E24:E31)</f>
        <v>8067312</v>
      </c>
      <c r="F23" s="146">
        <f>SUM(F24:F31)</f>
        <v>4167857</v>
      </c>
    </row>
    <row r="24" spans="1:6" s="91" customFormat="1" ht="19.5" customHeight="1">
      <c r="A24" s="171" t="s">
        <v>43</v>
      </c>
      <c r="B24" s="180" t="s">
        <v>62</v>
      </c>
      <c r="C24" s="101" t="s">
        <v>72</v>
      </c>
      <c r="D24" s="187" t="s">
        <v>72</v>
      </c>
      <c r="E24" s="150">
        <f>1781600-304000</f>
        <v>1477600</v>
      </c>
      <c r="F24" s="150">
        <f>4100000+67860-3</f>
        <v>4167857</v>
      </c>
    </row>
    <row r="25" spans="1:6" s="91" customFormat="1" ht="19.5" customHeight="1">
      <c r="A25" s="162" t="s">
        <v>44</v>
      </c>
      <c r="B25" s="163" t="s">
        <v>76</v>
      </c>
      <c r="C25" s="102"/>
      <c r="D25" s="186" t="s">
        <v>72</v>
      </c>
      <c r="E25" s="151"/>
      <c r="F25" s="151"/>
    </row>
    <row r="26" spans="1:6" s="91" customFormat="1" ht="45">
      <c r="A26" s="162" t="s">
        <v>45</v>
      </c>
      <c r="B26" s="181" t="s">
        <v>10</v>
      </c>
      <c r="C26" s="102"/>
      <c r="D26" s="186" t="s">
        <v>11</v>
      </c>
      <c r="E26" s="151"/>
      <c r="F26" s="151"/>
    </row>
    <row r="27" spans="1:6" s="91" customFormat="1" ht="19.5" customHeight="1">
      <c r="A27" s="162" t="s">
        <v>36</v>
      </c>
      <c r="B27" s="163" t="s">
        <v>12</v>
      </c>
      <c r="C27" s="102" t="s">
        <v>93</v>
      </c>
      <c r="D27" s="186" t="s">
        <v>93</v>
      </c>
      <c r="E27" s="151">
        <v>0</v>
      </c>
      <c r="F27" s="151">
        <v>0</v>
      </c>
    </row>
    <row r="28" spans="1:6" s="91" customFormat="1" ht="19.5" customHeight="1">
      <c r="A28" s="162" t="s">
        <v>49</v>
      </c>
      <c r="B28" s="163" t="s">
        <v>13</v>
      </c>
      <c r="C28" s="102" t="s">
        <v>74</v>
      </c>
      <c r="D28" s="186" t="s">
        <v>74</v>
      </c>
      <c r="E28" s="151">
        <v>4589712</v>
      </c>
      <c r="F28" s="151">
        <v>0</v>
      </c>
    </row>
    <row r="29" spans="1:6" s="91" customFormat="1" ht="17.25" customHeight="1">
      <c r="A29" s="162" t="s">
        <v>53</v>
      </c>
      <c r="B29" s="163" t="s">
        <v>61</v>
      </c>
      <c r="C29" s="102" t="s">
        <v>75</v>
      </c>
      <c r="D29" s="186" t="s">
        <v>75</v>
      </c>
      <c r="E29" s="151">
        <v>2000000</v>
      </c>
      <c r="F29" s="151">
        <v>0</v>
      </c>
    </row>
    <row r="30" spans="1:6" s="91" customFormat="1" ht="17.25" customHeight="1">
      <c r="A30" s="162" t="s">
        <v>63</v>
      </c>
      <c r="B30" s="163" t="s">
        <v>32</v>
      </c>
      <c r="C30" s="102"/>
      <c r="D30" s="186" t="s">
        <v>14</v>
      </c>
      <c r="E30" s="151"/>
      <c r="F30" s="151"/>
    </row>
    <row r="31" spans="1:6" s="91" customFormat="1" ht="17.25" customHeight="1" thickBot="1">
      <c r="A31" s="182" t="s">
        <v>66</v>
      </c>
      <c r="B31" s="183" t="s">
        <v>71</v>
      </c>
      <c r="C31" s="102" t="s">
        <v>73</v>
      </c>
      <c r="D31" s="188" t="s">
        <v>73</v>
      </c>
      <c r="E31" s="152">
        <v>0</v>
      </c>
      <c r="F31" s="152">
        <v>0</v>
      </c>
    </row>
    <row r="32" spans="1:6" ht="19.5" customHeight="1">
      <c r="A32" s="4"/>
      <c r="B32" s="5"/>
      <c r="C32" s="5"/>
      <c r="D32" s="5"/>
      <c r="E32" s="23"/>
      <c r="F32" s="23"/>
    </row>
    <row r="33" spans="1:6" ht="30" hidden="1">
      <c r="A33" s="12" t="s">
        <v>83</v>
      </c>
      <c r="B33" s="15" t="s">
        <v>94</v>
      </c>
      <c r="C33" s="13"/>
      <c r="D33" s="13"/>
      <c r="E33" s="26">
        <f>E23</f>
        <v>8067312</v>
      </c>
      <c r="F33" s="29">
        <f>F23</f>
        <v>4167857</v>
      </c>
    </row>
    <row r="34" spans="1:6" ht="30" hidden="1">
      <c r="A34" s="6" t="s">
        <v>84</v>
      </c>
      <c r="B34" s="14" t="s">
        <v>90</v>
      </c>
      <c r="C34" s="9"/>
      <c r="D34" s="9"/>
      <c r="E34" s="27">
        <f>E7-E33</f>
        <v>58177717</v>
      </c>
      <c r="F34" s="30">
        <f>F7-F33</f>
        <v>77598389</v>
      </c>
    </row>
    <row r="35" spans="1:6" ht="30" hidden="1">
      <c r="A35" s="6" t="s">
        <v>85</v>
      </c>
      <c r="B35" s="14" t="s">
        <v>86</v>
      </c>
      <c r="C35" s="9"/>
      <c r="D35" s="9"/>
      <c r="E35" s="27">
        <f>E8-E34</f>
        <v>7163813</v>
      </c>
      <c r="F35" s="30">
        <f>F8-F34</f>
        <v>7643198</v>
      </c>
    </row>
    <row r="36" spans="1:6" ht="45.75" hidden="1" thickBot="1">
      <c r="A36" s="7" t="s">
        <v>87</v>
      </c>
      <c r="B36" s="10" t="s">
        <v>88</v>
      </c>
      <c r="C36" s="11"/>
      <c r="D36" s="11"/>
      <c r="E36" s="28">
        <f>SUM(E13)</f>
        <v>7163813</v>
      </c>
      <c r="F36" s="31">
        <f>SUM(F13)</f>
        <v>7643198</v>
      </c>
    </row>
    <row r="37" spans="1:6" ht="12.75">
      <c r="A37" s="3"/>
      <c r="E37" s="24"/>
      <c r="F37" s="24"/>
    </row>
    <row r="38" spans="1:6" ht="12.75">
      <c r="A38" s="3"/>
      <c r="E38" s="24"/>
      <c r="F38" s="24"/>
    </row>
    <row r="39" spans="5:6" s="8" customFormat="1" ht="15">
      <c r="E39" s="25"/>
      <c r="F39" s="25"/>
    </row>
    <row r="40" spans="1:6" ht="12.75">
      <c r="A40" s="3"/>
      <c r="E40" s="24"/>
      <c r="F40" s="24"/>
    </row>
    <row r="41" spans="1:6" ht="12.75">
      <c r="A41" s="3"/>
      <c r="E41" s="24"/>
      <c r="F41" s="24"/>
    </row>
    <row r="42" spans="1:6" ht="12.75">
      <c r="A42" s="3"/>
      <c r="E42" s="24"/>
      <c r="F42" s="24"/>
    </row>
    <row r="43" spans="1:6" ht="12.75">
      <c r="A43" s="3"/>
      <c r="E43" s="24"/>
      <c r="F43" s="24"/>
    </row>
    <row r="44" spans="1:6" ht="12.75">
      <c r="A44" s="3"/>
      <c r="E44" s="24"/>
      <c r="F44" s="24"/>
    </row>
    <row r="45" spans="1:6" ht="12.75">
      <c r="A45" s="3"/>
      <c r="E45" s="24"/>
      <c r="F45" s="24"/>
    </row>
    <row r="46" spans="1:6" ht="12.75">
      <c r="A46" s="3"/>
      <c r="E46" s="24"/>
      <c r="F46" s="24"/>
    </row>
    <row r="47" spans="1:6" ht="12.75">
      <c r="A47" s="3"/>
      <c r="E47" s="24"/>
      <c r="F47" s="24"/>
    </row>
    <row r="48" spans="5:6" ht="12.75">
      <c r="E48" s="24"/>
      <c r="F48" s="24"/>
    </row>
    <row r="49" spans="5:6" ht="12.75">
      <c r="E49" s="24"/>
      <c r="F49" s="24"/>
    </row>
    <row r="50" spans="5:6" ht="12.75">
      <c r="E50" s="24"/>
      <c r="F50" s="24"/>
    </row>
    <row r="51" spans="5:6" ht="12.75">
      <c r="E51" s="24"/>
      <c r="F51" s="24"/>
    </row>
    <row r="52" spans="5:6" ht="12.75">
      <c r="E52" s="24"/>
      <c r="F52" s="24"/>
    </row>
    <row r="53" spans="5:6" ht="12.75">
      <c r="E53" s="24"/>
      <c r="F53" s="24"/>
    </row>
    <row r="54" spans="5:6" ht="12.75">
      <c r="E54" s="24"/>
      <c r="F54" s="24"/>
    </row>
    <row r="55" spans="5:6" ht="12.75">
      <c r="E55" s="24"/>
      <c r="F55" s="24"/>
    </row>
    <row r="56" spans="5:6" ht="12.75">
      <c r="E56" s="24"/>
      <c r="F56" s="24"/>
    </row>
    <row r="57" spans="5:6" ht="12.75">
      <c r="E57" s="24"/>
      <c r="F57" s="24"/>
    </row>
    <row r="58" spans="5:6" ht="12.75">
      <c r="E58" s="24"/>
      <c r="F58" s="24"/>
    </row>
    <row r="59" spans="5:6" ht="12.75">
      <c r="E59" s="24"/>
      <c r="F59" s="24"/>
    </row>
    <row r="60" spans="5:6" ht="12.75">
      <c r="E60" s="24"/>
      <c r="F60" s="24"/>
    </row>
    <row r="61" spans="5:6" ht="12.75">
      <c r="E61" s="24"/>
      <c r="F61" s="24"/>
    </row>
    <row r="62" spans="5:6" ht="12.75">
      <c r="E62" s="24"/>
      <c r="F62" s="24"/>
    </row>
    <row r="63" spans="5:6" ht="12.75">
      <c r="E63" s="24"/>
      <c r="F63" s="24"/>
    </row>
    <row r="64" spans="5:6" ht="12.75">
      <c r="E64" s="24"/>
      <c r="F64" s="24"/>
    </row>
    <row r="65" spans="5:6" ht="12.75">
      <c r="E65" s="24"/>
      <c r="F65" s="24"/>
    </row>
    <row r="66" spans="5:6" ht="12.75">
      <c r="E66" s="24"/>
      <c r="F66" s="24"/>
    </row>
    <row r="67" spans="5:6" ht="12.75">
      <c r="E67" s="24"/>
      <c r="F67" s="24"/>
    </row>
    <row r="68" spans="5:6" ht="12.75">
      <c r="E68" s="24"/>
      <c r="F68" s="24"/>
    </row>
    <row r="69" spans="5:6" ht="12.75">
      <c r="E69" s="24"/>
      <c r="F69" s="24"/>
    </row>
    <row r="70" spans="5:6" ht="12.75">
      <c r="E70" s="24"/>
      <c r="F70" s="24"/>
    </row>
    <row r="71" spans="5:6" ht="12.75">
      <c r="E71" s="24"/>
      <c r="F71" s="24"/>
    </row>
    <row r="72" spans="5:6" ht="12.75">
      <c r="E72" s="24"/>
      <c r="F72" s="24"/>
    </row>
    <row r="73" spans="5:6" ht="12.75">
      <c r="E73" s="24"/>
      <c r="F73" s="24"/>
    </row>
    <row r="74" spans="5:6" ht="12.75">
      <c r="E74" s="24"/>
      <c r="F74" s="24"/>
    </row>
    <row r="75" spans="5:6" ht="12.75">
      <c r="E75" s="24"/>
      <c r="F75" s="24"/>
    </row>
    <row r="76" spans="5:6" ht="12.75">
      <c r="E76" s="24"/>
      <c r="F76" s="24"/>
    </row>
    <row r="77" spans="5:6" ht="12.75">
      <c r="E77" s="24"/>
      <c r="F77" s="24"/>
    </row>
    <row r="78" spans="5:6" ht="12.75">
      <c r="E78" s="24"/>
      <c r="F78" s="24"/>
    </row>
    <row r="79" spans="5:6" ht="12.75">
      <c r="E79" s="24"/>
      <c r="F79" s="24"/>
    </row>
    <row r="80" spans="5:6" ht="12.75">
      <c r="E80" s="24"/>
      <c r="F80" s="24"/>
    </row>
    <row r="81" spans="5:6" ht="12.75">
      <c r="E81" s="24"/>
      <c r="F81" s="24"/>
    </row>
    <row r="82" spans="5:6" ht="12.75">
      <c r="E82" s="24"/>
      <c r="F82" s="24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 XXV/180/09
z dnia 26 lutego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S31"/>
  <sheetViews>
    <sheetView zoomScale="80" zoomScaleNormal="80" workbookViewId="0" topLeftCell="A1">
      <selection activeCell="C18" sqref="C18:C20"/>
    </sheetView>
  </sheetViews>
  <sheetFormatPr defaultColWidth="9.00390625" defaultRowHeight="12.75"/>
  <cols>
    <col min="1" max="1" width="5.00390625" style="32" customWidth="1"/>
    <col min="2" max="2" width="6.75390625" style="32" customWidth="1"/>
    <col min="3" max="3" width="31.00390625" style="32" customWidth="1"/>
    <col min="4" max="4" width="8.00390625" style="36" hidden="1" customWidth="1"/>
    <col min="5" max="5" width="11.125" style="32" customWidth="1"/>
    <col min="6" max="6" width="11.625" style="32" hidden="1" customWidth="1"/>
    <col min="7" max="7" width="12.125" style="32" hidden="1" customWidth="1"/>
    <col min="8" max="8" width="11.875" style="35" customWidth="1"/>
    <col min="9" max="9" width="9.75390625" style="32" customWidth="1"/>
    <col min="10" max="10" width="9.625" style="32" customWidth="1"/>
    <col min="11" max="11" width="2.875" style="32" customWidth="1"/>
    <col min="12" max="12" width="10.875" style="32" customWidth="1"/>
    <col min="13" max="13" width="14.875" style="32" customWidth="1"/>
    <col min="14" max="14" width="10.00390625" style="32" hidden="1" customWidth="1"/>
    <col min="15" max="15" width="12.00390625" style="32" customWidth="1"/>
    <col min="16" max="16" width="11.625" style="32" customWidth="1"/>
    <col min="17" max="17" width="14.25390625" style="32" customWidth="1"/>
    <col min="18" max="18" width="9.125" style="32" customWidth="1"/>
    <col min="19" max="19" width="9.875" style="32" bestFit="1" customWidth="1"/>
    <col min="20" max="16384" width="9.125" style="32" customWidth="1"/>
  </cols>
  <sheetData>
    <row r="1" spans="13:17" ht="16.5" customHeight="1">
      <c r="M1" s="34"/>
      <c r="N1" s="34"/>
      <c r="O1" s="34"/>
      <c r="P1" s="34"/>
      <c r="Q1" s="22" t="s">
        <v>132</v>
      </c>
    </row>
    <row r="2" spans="13:17" ht="15" customHeight="1">
      <c r="M2" s="33"/>
      <c r="N2" s="33"/>
      <c r="O2" s="33"/>
      <c r="P2" s="33"/>
      <c r="Q2" s="33" t="s">
        <v>219</v>
      </c>
    </row>
    <row r="3" spans="13:17" ht="12" customHeight="1">
      <c r="M3" s="33"/>
      <c r="N3" s="33"/>
      <c r="O3" s="33"/>
      <c r="P3" s="33"/>
      <c r="Q3" s="33" t="s">
        <v>315</v>
      </c>
    </row>
    <row r="4" spans="14:16" ht="3.75" customHeight="1">
      <c r="N4" s="17"/>
      <c r="O4" s="17"/>
      <c r="P4" s="18"/>
    </row>
    <row r="5" spans="14:16" ht="1.5" customHeight="1">
      <c r="N5" s="17"/>
      <c r="O5" s="17"/>
      <c r="P5" s="18"/>
    </row>
    <row r="6" spans="14:16" ht="16.5" customHeight="1" hidden="1">
      <c r="N6" s="17"/>
      <c r="O6" s="17"/>
      <c r="P6" s="18"/>
    </row>
    <row r="7" spans="1:17" s="41" customFormat="1" ht="9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</row>
    <row r="8" spans="1:17" s="41" customFormat="1" ht="17.25" customHeight="1">
      <c r="A8" s="462" t="s">
        <v>301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</row>
    <row r="9" ht="15" customHeight="1">
      <c r="Q9" s="42" t="s">
        <v>92</v>
      </c>
    </row>
    <row r="10" spans="1:17" ht="12.75" customHeight="1">
      <c r="A10" s="463" t="s">
        <v>37</v>
      </c>
      <c r="B10" s="463" t="s">
        <v>38</v>
      </c>
      <c r="C10" s="463" t="s">
        <v>316</v>
      </c>
      <c r="D10" s="463" t="s">
        <v>117</v>
      </c>
      <c r="E10" s="463" t="s">
        <v>317</v>
      </c>
      <c r="F10" s="463" t="s">
        <v>118</v>
      </c>
      <c r="G10" s="463" t="s">
        <v>119</v>
      </c>
      <c r="H10" s="466" t="s">
        <v>323</v>
      </c>
      <c r="I10" s="467"/>
      <c r="J10" s="467"/>
      <c r="K10" s="467"/>
      <c r="L10" s="467"/>
      <c r="M10" s="467"/>
      <c r="N10" s="467"/>
      <c r="O10" s="467"/>
      <c r="P10" s="467"/>
      <c r="Q10" s="463" t="s">
        <v>260</v>
      </c>
    </row>
    <row r="11" spans="1:17" ht="12.75">
      <c r="A11" s="464"/>
      <c r="B11" s="464"/>
      <c r="C11" s="464"/>
      <c r="D11" s="465"/>
      <c r="E11" s="464"/>
      <c r="F11" s="464"/>
      <c r="G11" s="464"/>
      <c r="H11" s="463" t="s">
        <v>243</v>
      </c>
      <c r="I11" s="463" t="s">
        <v>324</v>
      </c>
      <c r="J11" s="468"/>
      <c r="K11" s="468"/>
      <c r="L11" s="468"/>
      <c r="M11" s="468"/>
      <c r="N11" s="463" t="s">
        <v>120</v>
      </c>
      <c r="O11" s="463" t="s">
        <v>198</v>
      </c>
      <c r="P11" s="463" t="s">
        <v>242</v>
      </c>
      <c r="Q11" s="465"/>
    </row>
    <row r="12" spans="1:17" ht="52.5" customHeight="1">
      <c r="A12" s="464"/>
      <c r="B12" s="464"/>
      <c r="C12" s="464"/>
      <c r="D12" s="465"/>
      <c r="E12" s="464"/>
      <c r="F12" s="464"/>
      <c r="G12" s="464"/>
      <c r="H12" s="463"/>
      <c r="I12" s="111" t="s">
        <v>320</v>
      </c>
      <c r="J12" s="111" t="s">
        <v>121</v>
      </c>
      <c r="K12" s="463" t="s">
        <v>321</v>
      </c>
      <c r="L12" s="463"/>
      <c r="M12" s="111" t="s">
        <v>322</v>
      </c>
      <c r="N12" s="463"/>
      <c r="O12" s="463"/>
      <c r="P12" s="463"/>
      <c r="Q12" s="465"/>
    </row>
    <row r="13" spans="1:17" ht="12.75">
      <c r="A13" s="57" t="s">
        <v>43</v>
      </c>
      <c r="B13" s="57" t="s">
        <v>44</v>
      </c>
      <c r="C13" s="57" t="s">
        <v>45</v>
      </c>
      <c r="D13" s="57" t="s">
        <v>36</v>
      </c>
      <c r="E13" s="57" t="s">
        <v>36</v>
      </c>
      <c r="F13" s="57" t="s">
        <v>49</v>
      </c>
      <c r="G13" s="57" t="s">
        <v>53</v>
      </c>
      <c r="H13" s="57" t="s">
        <v>49</v>
      </c>
      <c r="I13" s="57" t="s">
        <v>53</v>
      </c>
      <c r="J13" s="57" t="s">
        <v>63</v>
      </c>
      <c r="K13" s="450" t="s">
        <v>66</v>
      </c>
      <c r="L13" s="451"/>
      <c r="M13" s="57" t="s">
        <v>101</v>
      </c>
      <c r="N13" s="57" t="s">
        <v>102</v>
      </c>
      <c r="O13" s="57" t="s">
        <v>102</v>
      </c>
      <c r="P13" s="57" t="s">
        <v>318</v>
      </c>
      <c r="Q13" s="57" t="s">
        <v>319</v>
      </c>
    </row>
    <row r="14" spans="1:17" ht="12.75">
      <c r="A14" s="139">
        <v>600</v>
      </c>
      <c r="B14" s="139">
        <v>60014</v>
      </c>
      <c r="C14" s="19" t="s">
        <v>104</v>
      </c>
      <c r="D14" s="113"/>
      <c r="E14" s="142">
        <f aca="true" t="shared" si="0" ref="E14:J14">SUM(E15:E25)</f>
        <v>43644730</v>
      </c>
      <c r="F14" s="142">
        <f t="shared" si="0"/>
        <v>0</v>
      </c>
      <c r="G14" s="142">
        <f t="shared" si="0"/>
        <v>0</v>
      </c>
      <c r="H14" s="142">
        <f t="shared" si="0"/>
        <v>12827845</v>
      </c>
      <c r="I14" s="142">
        <f t="shared" si="0"/>
        <v>1000743</v>
      </c>
      <c r="J14" s="142">
        <f t="shared" si="0"/>
        <v>281878</v>
      </c>
      <c r="K14" s="452">
        <f>SUM(L18:L25)</f>
        <v>3285179</v>
      </c>
      <c r="L14" s="453"/>
      <c r="M14" s="142">
        <f>SUM(M18:M25)</f>
        <v>8260045</v>
      </c>
      <c r="N14" s="142" t="e">
        <f>SUM(#REF!)</f>
        <v>#REF!</v>
      </c>
      <c r="O14" s="142">
        <f>SUM(O15:O25)</f>
        <v>12113945</v>
      </c>
      <c r="P14" s="142">
        <f>SUM(P15:P25)</f>
        <v>13566498</v>
      </c>
      <c r="Q14" s="19"/>
    </row>
    <row r="15" spans="1:17" ht="38.25" customHeight="1">
      <c r="A15" s="285"/>
      <c r="B15" s="141"/>
      <c r="C15" s="454" t="s">
        <v>295</v>
      </c>
      <c r="D15" s="457"/>
      <c r="E15" s="459">
        <v>579204</v>
      </c>
      <c r="F15" s="439"/>
      <c r="G15" s="439"/>
      <c r="H15" s="459">
        <v>100000</v>
      </c>
      <c r="I15" s="459">
        <v>0</v>
      </c>
      <c r="J15" s="442">
        <v>100000</v>
      </c>
      <c r="K15" s="471"/>
      <c r="L15" s="477">
        <v>0</v>
      </c>
      <c r="M15" s="474">
        <v>0</v>
      </c>
      <c r="N15" s="459"/>
      <c r="O15" s="459">
        <v>120000</v>
      </c>
      <c r="P15" s="459">
        <v>158998</v>
      </c>
      <c r="Q15" s="475" t="s">
        <v>100</v>
      </c>
    </row>
    <row r="16" spans="1:17" ht="12.75">
      <c r="A16" s="85"/>
      <c r="B16" s="86"/>
      <c r="C16" s="455"/>
      <c r="D16" s="458"/>
      <c r="E16" s="460"/>
      <c r="F16" s="440"/>
      <c r="G16" s="440"/>
      <c r="H16" s="460"/>
      <c r="I16" s="460"/>
      <c r="J16" s="443"/>
      <c r="K16" s="472"/>
      <c r="L16" s="478"/>
      <c r="M16" s="469"/>
      <c r="N16" s="460"/>
      <c r="O16" s="460"/>
      <c r="P16" s="460"/>
      <c r="Q16" s="445"/>
    </row>
    <row r="17" spans="1:17" ht="15.75" customHeight="1">
      <c r="A17" s="85"/>
      <c r="B17" s="86"/>
      <c r="C17" s="456"/>
      <c r="D17" s="438"/>
      <c r="E17" s="461"/>
      <c r="F17" s="441"/>
      <c r="G17" s="441"/>
      <c r="H17" s="461"/>
      <c r="I17" s="461"/>
      <c r="J17" s="444"/>
      <c r="K17" s="473"/>
      <c r="L17" s="479"/>
      <c r="M17" s="470"/>
      <c r="N17" s="461"/>
      <c r="O17" s="461"/>
      <c r="P17" s="461"/>
      <c r="Q17" s="445"/>
    </row>
    <row r="18" spans="1:17" ht="16.5" customHeight="1">
      <c r="A18" s="85"/>
      <c r="B18" s="86"/>
      <c r="C18" s="454" t="s">
        <v>210</v>
      </c>
      <c r="D18" s="457"/>
      <c r="E18" s="459">
        <v>9251078</v>
      </c>
      <c r="F18" s="439"/>
      <c r="G18" s="439"/>
      <c r="H18" s="459">
        <v>50000</v>
      </c>
      <c r="I18" s="459">
        <v>0</v>
      </c>
      <c r="J18" s="442">
        <v>5000</v>
      </c>
      <c r="K18" s="471" t="s">
        <v>184</v>
      </c>
      <c r="L18" s="477">
        <v>10000</v>
      </c>
      <c r="M18" s="474">
        <v>35000</v>
      </c>
      <c r="N18" s="459"/>
      <c r="O18" s="459">
        <v>3067163</v>
      </c>
      <c r="P18" s="459">
        <v>3080538</v>
      </c>
      <c r="Q18" s="445"/>
    </row>
    <row r="19" spans="1:17" ht="16.5" customHeight="1">
      <c r="A19" s="85"/>
      <c r="B19" s="86"/>
      <c r="C19" s="455"/>
      <c r="D19" s="458"/>
      <c r="E19" s="460"/>
      <c r="F19" s="440"/>
      <c r="G19" s="440"/>
      <c r="H19" s="460"/>
      <c r="I19" s="460"/>
      <c r="J19" s="443"/>
      <c r="K19" s="472"/>
      <c r="L19" s="478"/>
      <c r="M19" s="469"/>
      <c r="N19" s="460"/>
      <c r="O19" s="460"/>
      <c r="P19" s="460"/>
      <c r="Q19" s="445"/>
    </row>
    <row r="20" spans="1:17" ht="21.75" customHeight="1">
      <c r="A20" s="85"/>
      <c r="B20" s="86"/>
      <c r="C20" s="456"/>
      <c r="D20" s="438"/>
      <c r="E20" s="461"/>
      <c r="F20" s="441"/>
      <c r="G20" s="441"/>
      <c r="H20" s="461"/>
      <c r="I20" s="461"/>
      <c r="J20" s="444"/>
      <c r="K20" s="473"/>
      <c r="L20" s="479"/>
      <c r="M20" s="470"/>
      <c r="N20" s="461"/>
      <c r="O20" s="461"/>
      <c r="P20" s="461"/>
      <c r="Q20" s="445"/>
    </row>
    <row r="21" spans="1:17" ht="41.25" customHeight="1">
      <c r="A21" s="85"/>
      <c r="B21" s="86"/>
      <c r="C21" s="356" t="s">
        <v>246</v>
      </c>
      <c r="D21" s="308"/>
      <c r="E21" s="282">
        <v>14351171</v>
      </c>
      <c r="F21" s="315"/>
      <c r="G21" s="315"/>
      <c r="H21" s="310">
        <f>SUM(I21,L21,M21)</f>
        <v>2192158</v>
      </c>
      <c r="I21" s="304">
        <v>219216</v>
      </c>
      <c r="J21" s="304">
        <v>0</v>
      </c>
      <c r="K21" s="201" t="s">
        <v>184</v>
      </c>
      <c r="L21" s="201">
        <v>538613</v>
      </c>
      <c r="M21" s="305">
        <v>1434329</v>
      </c>
      <c r="N21" s="310"/>
      <c r="O21" s="310">
        <v>3714212</v>
      </c>
      <c r="P21" s="310">
        <v>6696962</v>
      </c>
      <c r="Q21" s="445"/>
    </row>
    <row r="22" spans="1:19" ht="70.5" customHeight="1">
      <c r="A22" s="85"/>
      <c r="B22" s="86"/>
      <c r="C22" s="312" t="s">
        <v>245</v>
      </c>
      <c r="D22" s="309"/>
      <c r="E22" s="200">
        <v>4223547</v>
      </c>
      <c r="F22" s="357"/>
      <c r="G22" s="357"/>
      <c r="H22" s="310">
        <f>SUM(I22,L22,M22)</f>
        <v>4196707</v>
      </c>
      <c r="I22" s="426">
        <v>324915</v>
      </c>
      <c r="J22" s="426">
        <v>0</v>
      </c>
      <c r="K22" s="201" t="s">
        <v>184</v>
      </c>
      <c r="L22" s="201">
        <v>1409506</v>
      </c>
      <c r="M22" s="427">
        <v>2462286</v>
      </c>
      <c r="N22" s="201"/>
      <c r="O22" s="201">
        <v>0</v>
      </c>
      <c r="P22" s="201">
        <v>0</v>
      </c>
      <c r="Q22" s="445"/>
      <c r="S22" s="58"/>
    </row>
    <row r="23" spans="1:17" ht="66.75" customHeight="1">
      <c r="A23" s="317"/>
      <c r="B23" s="318"/>
      <c r="C23" s="356" t="s">
        <v>296</v>
      </c>
      <c r="D23" s="308"/>
      <c r="E23" s="282">
        <v>4721589</v>
      </c>
      <c r="F23" s="315"/>
      <c r="G23" s="315"/>
      <c r="H23" s="310">
        <f>SUM(I23,L23,M23)</f>
        <v>4667089</v>
      </c>
      <c r="I23" s="304">
        <v>456612</v>
      </c>
      <c r="J23" s="304">
        <v>0</v>
      </c>
      <c r="K23" s="201" t="s">
        <v>184</v>
      </c>
      <c r="L23" s="201">
        <v>1005946</v>
      </c>
      <c r="M23" s="305">
        <v>3204531</v>
      </c>
      <c r="N23" s="310"/>
      <c r="O23" s="310">
        <v>0</v>
      </c>
      <c r="P23" s="310">
        <v>0</v>
      </c>
      <c r="Q23" s="476"/>
    </row>
    <row r="24" spans="1:17" ht="53.25" customHeight="1">
      <c r="A24" s="407">
        <v>600</v>
      </c>
      <c r="B24" s="139">
        <v>60014</v>
      </c>
      <c r="C24" s="406" t="s">
        <v>208</v>
      </c>
      <c r="D24" s="311"/>
      <c r="E24" s="200">
        <v>5018141</v>
      </c>
      <c r="F24" s="358"/>
      <c r="G24" s="358"/>
      <c r="H24" s="201">
        <f>SUM(I24:M24)</f>
        <v>1551891</v>
      </c>
      <c r="I24" s="359"/>
      <c r="J24" s="359">
        <v>106878</v>
      </c>
      <c r="K24" s="201" t="s">
        <v>184</v>
      </c>
      <c r="L24" s="201">
        <v>321114</v>
      </c>
      <c r="M24" s="405">
        <v>1123899</v>
      </c>
      <c r="N24" s="227"/>
      <c r="O24" s="200">
        <v>3412570</v>
      </c>
      <c r="P24" s="227">
        <v>0</v>
      </c>
      <c r="Q24" s="475" t="s">
        <v>100</v>
      </c>
    </row>
    <row r="25" spans="1:17" ht="71.25" customHeight="1">
      <c r="A25" s="317"/>
      <c r="B25" s="318"/>
      <c r="C25" s="356" t="s">
        <v>297</v>
      </c>
      <c r="D25" s="360"/>
      <c r="E25" s="282">
        <v>5500000</v>
      </c>
      <c r="F25" s="302"/>
      <c r="G25" s="302"/>
      <c r="H25" s="282">
        <v>70000</v>
      </c>
      <c r="I25" s="361">
        <v>0</v>
      </c>
      <c r="J25" s="361">
        <v>70000</v>
      </c>
      <c r="K25" s="310"/>
      <c r="L25" s="305">
        <v>0</v>
      </c>
      <c r="M25" s="355">
        <v>0</v>
      </c>
      <c r="N25" s="306"/>
      <c r="O25" s="282">
        <v>1800000</v>
      </c>
      <c r="P25" s="282">
        <v>3630000</v>
      </c>
      <c r="Q25" s="476"/>
    </row>
    <row r="26" spans="1:17" s="41" customFormat="1" ht="18" customHeight="1">
      <c r="A26" s="109">
        <v>801</v>
      </c>
      <c r="B26" s="109">
        <v>80130</v>
      </c>
      <c r="C26" s="60" t="s">
        <v>105</v>
      </c>
      <c r="D26" s="199"/>
      <c r="E26" s="142">
        <f aca="true" t="shared" si="1" ref="E26:J26">SUM(E27)</f>
        <v>3800000</v>
      </c>
      <c r="F26" s="142">
        <f t="shared" si="1"/>
        <v>0</v>
      </c>
      <c r="G26" s="142">
        <f t="shared" si="1"/>
        <v>0</v>
      </c>
      <c r="H26" s="142">
        <f t="shared" si="1"/>
        <v>1500000</v>
      </c>
      <c r="I26" s="142">
        <f t="shared" si="1"/>
        <v>1500000</v>
      </c>
      <c r="J26" s="142">
        <f t="shared" si="1"/>
        <v>0</v>
      </c>
      <c r="K26" s="452">
        <v>0</v>
      </c>
      <c r="L26" s="453"/>
      <c r="M26" s="142">
        <v>0</v>
      </c>
      <c r="N26" s="142" t="e">
        <f>SUM(#REF!)</f>
        <v>#REF!</v>
      </c>
      <c r="O26" s="142">
        <f>SUM(O27)</f>
        <v>1466560</v>
      </c>
      <c r="P26" s="142">
        <v>0</v>
      </c>
      <c r="Q26" s="60"/>
    </row>
    <row r="27" spans="1:17" ht="56.25" customHeight="1">
      <c r="A27" s="362"/>
      <c r="B27" s="363"/>
      <c r="C27" s="356" t="s">
        <v>244</v>
      </c>
      <c r="D27" s="360"/>
      <c r="E27" s="282">
        <v>3800000</v>
      </c>
      <c r="F27" s="302"/>
      <c r="G27" s="302"/>
      <c r="H27" s="310">
        <f>SUM(I27:M27)</f>
        <v>1500000</v>
      </c>
      <c r="I27" s="361">
        <v>1500000</v>
      </c>
      <c r="J27" s="361">
        <v>0</v>
      </c>
      <c r="K27" s="304"/>
      <c r="L27" s="310">
        <v>0</v>
      </c>
      <c r="M27" s="355">
        <v>0</v>
      </c>
      <c r="N27" s="306"/>
      <c r="O27" s="282">
        <v>1466560</v>
      </c>
      <c r="P27" s="282">
        <v>0</v>
      </c>
      <c r="Q27" s="272" t="s">
        <v>247</v>
      </c>
    </row>
    <row r="28" spans="1:17" ht="12.75">
      <c r="A28" s="446" t="s">
        <v>15</v>
      </c>
      <c r="B28" s="447"/>
      <c r="C28" s="448"/>
      <c r="D28" s="449"/>
      <c r="E28" s="209">
        <f aca="true" t="shared" si="2" ref="E28:J28">SUM(E26,E14)</f>
        <v>47444730</v>
      </c>
      <c r="F28" s="209">
        <f t="shared" si="2"/>
        <v>0</v>
      </c>
      <c r="G28" s="209">
        <f t="shared" si="2"/>
        <v>0</v>
      </c>
      <c r="H28" s="209">
        <f t="shared" si="2"/>
        <v>14327845</v>
      </c>
      <c r="I28" s="209">
        <f t="shared" si="2"/>
        <v>2500743</v>
      </c>
      <c r="J28" s="209">
        <f t="shared" si="2"/>
        <v>281878</v>
      </c>
      <c r="K28" s="433">
        <f>SUM(K14)</f>
        <v>3285179</v>
      </c>
      <c r="L28" s="434"/>
      <c r="M28" s="316">
        <f>SUM(M26,M14)</f>
        <v>8260045</v>
      </c>
      <c r="N28" s="316" t="e">
        <f>SUM(N26,N14)</f>
        <v>#REF!</v>
      </c>
      <c r="O28" s="316">
        <f>SUM(O26,O14)</f>
        <v>13580505</v>
      </c>
      <c r="P28" s="316">
        <f>SUM(P26,P14)</f>
        <v>13566498</v>
      </c>
      <c r="Q28" s="140" t="s">
        <v>133</v>
      </c>
    </row>
    <row r="29" spans="1:17" ht="21.75" customHeight="1">
      <c r="A29" s="435" t="s">
        <v>328</v>
      </c>
      <c r="B29" s="436"/>
      <c r="C29" s="436"/>
      <c r="D29" s="437"/>
      <c r="E29" s="209">
        <f aca="true" t="shared" si="3" ref="E29:J29">SUM(E28)</f>
        <v>47444730</v>
      </c>
      <c r="F29" s="209">
        <f t="shared" si="3"/>
        <v>0</v>
      </c>
      <c r="G29" s="209">
        <f t="shared" si="3"/>
        <v>0</v>
      </c>
      <c r="H29" s="209">
        <f t="shared" si="3"/>
        <v>14327845</v>
      </c>
      <c r="I29" s="209">
        <f t="shared" si="3"/>
        <v>2500743</v>
      </c>
      <c r="J29" s="209">
        <f t="shared" si="3"/>
        <v>281878</v>
      </c>
      <c r="K29" s="433">
        <f>SUM(K28)</f>
        <v>3285179</v>
      </c>
      <c r="L29" s="434"/>
      <c r="M29" s="209">
        <f>SUM(M28)</f>
        <v>8260045</v>
      </c>
      <c r="N29" s="209" t="e">
        <f>SUM(N28)</f>
        <v>#REF!</v>
      </c>
      <c r="O29" s="209">
        <f>SUM(O28)</f>
        <v>13580505</v>
      </c>
      <c r="P29" s="209">
        <f>SUM(P28)</f>
        <v>13566498</v>
      </c>
      <c r="Q29" s="140" t="s">
        <v>133</v>
      </c>
    </row>
    <row r="31" ht="12.75">
      <c r="A31" s="32" t="s">
        <v>259</v>
      </c>
    </row>
  </sheetData>
  <mergeCells count="54">
    <mergeCell ref="G15:G17"/>
    <mergeCell ref="H15:H17"/>
    <mergeCell ref="I15:I17"/>
    <mergeCell ref="J15:J17"/>
    <mergeCell ref="C15:C17"/>
    <mergeCell ref="D15:D17"/>
    <mergeCell ref="E15:E17"/>
    <mergeCell ref="F15:F17"/>
    <mergeCell ref="K26:L26"/>
    <mergeCell ref="A28:D28"/>
    <mergeCell ref="K28:L28"/>
    <mergeCell ref="A29:D29"/>
    <mergeCell ref="K29:L29"/>
    <mergeCell ref="P15:P17"/>
    <mergeCell ref="O18:O20"/>
    <mergeCell ref="P18:P20"/>
    <mergeCell ref="Q15:Q23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Q10:Q12"/>
    <mergeCell ref="H11:H12"/>
    <mergeCell ref="I11:M11"/>
    <mergeCell ref="N11:N12"/>
    <mergeCell ref="O11:O12"/>
    <mergeCell ref="P11:P12"/>
    <mergeCell ref="K12:L12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R169"/>
  <sheetViews>
    <sheetView workbookViewId="0" topLeftCell="C1">
      <selection activeCell="C17" sqref="C17:Q17"/>
    </sheetView>
  </sheetViews>
  <sheetFormatPr defaultColWidth="9.00390625" defaultRowHeight="12.75"/>
  <cols>
    <col min="1" max="1" width="3.625" style="62" bestFit="1" customWidth="1"/>
    <col min="2" max="2" width="19.125" style="62" customWidth="1"/>
    <col min="3" max="3" width="11.125" style="62" customWidth="1"/>
    <col min="4" max="4" width="9.375" style="62" customWidth="1"/>
    <col min="5" max="5" width="10.25390625" style="62" customWidth="1"/>
    <col min="6" max="6" width="8.375" style="62" customWidth="1"/>
    <col min="7" max="7" width="8.625" style="62" customWidth="1"/>
    <col min="8" max="8" width="8.375" style="62" customWidth="1"/>
    <col min="9" max="9" width="8.75390625" style="62" customWidth="1"/>
    <col min="10" max="10" width="8.00390625" style="62" customWidth="1"/>
    <col min="11" max="11" width="7.00390625" style="62" bestFit="1" customWidth="1"/>
    <col min="12" max="12" width="8.875" style="62" bestFit="1" customWidth="1"/>
    <col min="13" max="13" width="8.125" style="62" customWidth="1"/>
    <col min="14" max="14" width="10.625" style="62" customWidth="1"/>
    <col min="15" max="15" width="7.75390625" style="62" customWidth="1"/>
    <col min="16" max="16" width="7.00390625" style="62" bestFit="1" customWidth="1"/>
    <col min="17" max="17" width="7.875" style="62" bestFit="1" customWidth="1"/>
    <col min="18" max="16384" width="10.25390625" style="62" customWidth="1"/>
  </cols>
  <sheetData>
    <row r="1" ht="12">
      <c r="Q1" s="63" t="s">
        <v>134</v>
      </c>
    </row>
    <row r="2" ht="14.25">
      <c r="Q2" s="33" t="s">
        <v>219</v>
      </c>
    </row>
    <row r="3" ht="14.25">
      <c r="Q3" s="33" t="s">
        <v>315</v>
      </c>
    </row>
    <row r="4" ht="11.25" customHeight="1"/>
    <row r="5" spans="1:17" ht="14.25" customHeight="1">
      <c r="A5" s="518" t="s">
        <v>327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</row>
    <row r="7" spans="1:17" s="87" customFormat="1" ht="9.75" customHeight="1">
      <c r="A7" s="519" t="s">
        <v>41</v>
      </c>
      <c r="B7" s="519" t="s">
        <v>135</v>
      </c>
      <c r="C7" s="520" t="s">
        <v>136</v>
      </c>
      <c r="D7" s="520" t="s">
        <v>137</v>
      </c>
      <c r="E7" s="520" t="s">
        <v>138</v>
      </c>
      <c r="F7" s="519" t="s">
        <v>139</v>
      </c>
      <c r="G7" s="519"/>
      <c r="H7" s="519" t="s">
        <v>59</v>
      </c>
      <c r="I7" s="519"/>
      <c r="J7" s="519"/>
      <c r="K7" s="519"/>
      <c r="L7" s="519"/>
      <c r="M7" s="519"/>
      <c r="N7" s="519"/>
      <c r="O7" s="519"/>
      <c r="P7" s="519"/>
      <c r="Q7" s="519"/>
    </row>
    <row r="8" spans="1:17" s="87" customFormat="1" ht="9" customHeight="1">
      <c r="A8" s="519"/>
      <c r="B8" s="519"/>
      <c r="C8" s="520"/>
      <c r="D8" s="520"/>
      <c r="E8" s="520"/>
      <c r="F8" s="520" t="s">
        <v>140</v>
      </c>
      <c r="G8" s="520" t="s">
        <v>141</v>
      </c>
      <c r="H8" s="519" t="s">
        <v>325</v>
      </c>
      <c r="I8" s="519"/>
      <c r="J8" s="519"/>
      <c r="K8" s="519"/>
      <c r="L8" s="519"/>
      <c r="M8" s="519"/>
      <c r="N8" s="519"/>
      <c r="O8" s="519"/>
      <c r="P8" s="519"/>
      <c r="Q8" s="519"/>
    </row>
    <row r="9" spans="1:17" s="87" customFormat="1" ht="9.75" customHeight="1">
      <c r="A9" s="519"/>
      <c r="B9" s="519"/>
      <c r="C9" s="520"/>
      <c r="D9" s="520"/>
      <c r="E9" s="520"/>
      <c r="F9" s="520"/>
      <c r="G9" s="520"/>
      <c r="H9" s="520" t="s">
        <v>261</v>
      </c>
      <c r="I9" s="519" t="s">
        <v>142</v>
      </c>
      <c r="J9" s="519"/>
      <c r="K9" s="519"/>
      <c r="L9" s="519"/>
      <c r="M9" s="519"/>
      <c r="N9" s="519"/>
      <c r="O9" s="519"/>
      <c r="P9" s="519"/>
      <c r="Q9" s="519"/>
    </row>
    <row r="10" spans="1:17" s="87" customFormat="1" ht="12" customHeight="1">
      <c r="A10" s="519"/>
      <c r="B10" s="519"/>
      <c r="C10" s="520"/>
      <c r="D10" s="520"/>
      <c r="E10" s="520"/>
      <c r="F10" s="520"/>
      <c r="G10" s="520"/>
      <c r="H10" s="520"/>
      <c r="I10" s="519" t="s">
        <v>143</v>
      </c>
      <c r="J10" s="519"/>
      <c r="K10" s="519"/>
      <c r="L10" s="519"/>
      <c r="M10" s="519" t="s">
        <v>141</v>
      </c>
      <c r="N10" s="519"/>
      <c r="O10" s="519"/>
      <c r="P10" s="519"/>
      <c r="Q10" s="519"/>
    </row>
    <row r="11" spans="1:17" s="87" customFormat="1" ht="9" customHeight="1">
      <c r="A11" s="519"/>
      <c r="B11" s="519"/>
      <c r="C11" s="520"/>
      <c r="D11" s="520"/>
      <c r="E11" s="520"/>
      <c r="F11" s="520"/>
      <c r="G11" s="520"/>
      <c r="H11" s="520"/>
      <c r="I11" s="520" t="s">
        <v>144</v>
      </c>
      <c r="J11" s="519" t="s">
        <v>145</v>
      </c>
      <c r="K11" s="519"/>
      <c r="L11" s="519"/>
      <c r="M11" s="520" t="s">
        <v>146</v>
      </c>
      <c r="N11" s="520" t="s">
        <v>145</v>
      </c>
      <c r="O11" s="520"/>
      <c r="P11" s="520"/>
      <c r="Q11" s="520"/>
    </row>
    <row r="12" spans="1:17" s="87" customFormat="1" ht="34.5" customHeight="1">
      <c r="A12" s="519"/>
      <c r="B12" s="519"/>
      <c r="C12" s="520"/>
      <c r="D12" s="520"/>
      <c r="E12" s="520"/>
      <c r="F12" s="520"/>
      <c r="G12" s="520"/>
      <c r="H12" s="520"/>
      <c r="I12" s="520"/>
      <c r="J12" s="203" t="s">
        <v>147</v>
      </c>
      <c r="K12" s="203" t="s">
        <v>148</v>
      </c>
      <c r="L12" s="203" t="s">
        <v>149</v>
      </c>
      <c r="M12" s="520"/>
      <c r="N12" s="204" t="s">
        <v>150</v>
      </c>
      <c r="O12" s="203" t="s">
        <v>147</v>
      </c>
      <c r="P12" s="203" t="s">
        <v>148</v>
      </c>
      <c r="Q12" s="203" t="s">
        <v>151</v>
      </c>
    </row>
    <row r="13" spans="1:17" s="87" customFormat="1" ht="11.25">
      <c r="A13" s="205">
        <v>1</v>
      </c>
      <c r="B13" s="205">
        <v>2</v>
      </c>
      <c r="C13" s="206">
        <v>3</v>
      </c>
      <c r="D13" s="206">
        <v>4</v>
      </c>
      <c r="E13" s="206">
        <v>5</v>
      </c>
      <c r="F13" s="206">
        <v>6</v>
      </c>
      <c r="G13" s="206">
        <v>7</v>
      </c>
      <c r="H13" s="206">
        <v>8</v>
      </c>
      <c r="I13" s="206">
        <v>9</v>
      </c>
      <c r="J13" s="206">
        <v>10</v>
      </c>
      <c r="K13" s="206">
        <v>11</v>
      </c>
      <c r="L13" s="206">
        <v>12</v>
      </c>
      <c r="M13" s="206">
        <v>13</v>
      </c>
      <c r="N13" s="206">
        <v>14</v>
      </c>
      <c r="O13" s="206">
        <v>15</v>
      </c>
      <c r="P13" s="206">
        <v>16</v>
      </c>
      <c r="Q13" s="206">
        <v>17</v>
      </c>
    </row>
    <row r="14" spans="1:17" s="264" customFormat="1" ht="11.25">
      <c r="A14" s="207">
        <v>1</v>
      </c>
      <c r="B14" s="208" t="s">
        <v>152</v>
      </c>
      <c r="C14" s="511" t="s">
        <v>153</v>
      </c>
      <c r="D14" s="512"/>
      <c r="E14" s="263">
        <f>SUM(E28,E46,E92,E55,E65,E37,E83,E74,E19)</f>
        <v>37730146</v>
      </c>
      <c r="F14" s="263">
        <f aca="true" t="shared" si="0" ref="F14:Q14">SUM(F28,F46,F92,F55,F65,F37,F83,F74,F19)</f>
        <v>12939950</v>
      </c>
      <c r="G14" s="263">
        <f t="shared" si="0"/>
        <v>24790196</v>
      </c>
      <c r="H14" s="263">
        <f>SUM(H19,H28,H37,H46,H65,H74,H83)</f>
        <v>12759115</v>
      </c>
      <c r="I14" s="263">
        <f>SUM(I28,I46,I65,I37,I83,I74,I19)</f>
        <v>4499070</v>
      </c>
      <c r="J14" s="263">
        <f t="shared" si="0"/>
        <v>0</v>
      </c>
      <c r="K14" s="263">
        <f t="shared" si="0"/>
        <v>0</v>
      </c>
      <c r="L14" s="263">
        <f t="shared" si="0"/>
        <v>4499070</v>
      </c>
      <c r="M14" s="263">
        <f t="shared" si="0"/>
        <v>8260045</v>
      </c>
      <c r="N14" s="263">
        <f t="shared" si="0"/>
        <v>0</v>
      </c>
      <c r="O14" s="263">
        <f t="shared" si="0"/>
        <v>0</v>
      </c>
      <c r="P14" s="263">
        <f t="shared" si="0"/>
        <v>0</v>
      </c>
      <c r="Q14" s="263">
        <f t="shared" si="0"/>
        <v>8260045</v>
      </c>
    </row>
    <row r="15" spans="1:17" ht="12.75">
      <c r="A15" s="508" t="s">
        <v>154</v>
      </c>
      <c r="B15" s="125" t="s">
        <v>155</v>
      </c>
      <c r="C15" s="491" t="s">
        <v>262</v>
      </c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</row>
    <row r="16" spans="1:17" ht="12.75">
      <c r="A16" s="489"/>
      <c r="B16" s="125" t="s">
        <v>156</v>
      </c>
      <c r="C16" s="493" t="s">
        <v>185</v>
      </c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8"/>
    </row>
    <row r="17" spans="1:17" ht="12.75">
      <c r="A17" s="489"/>
      <c r="B17" s="125" t="s">
        <v>157</v>
      </c>
      <c r="C17" s="493" t="s">
        <v>193</v>
      </c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8"/>
    </row>
    <row r="18" spans="1:18" ht="12.75" customHeight="1">
      <c r="A18" s="489"/>
      <c r="B18" s="125" t="s">
        <v>158</v>
      </c>
      <c r="C18" s="496" t="s">
        <v>207</v>
      </c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30"/>
      <c r="R18" s="265"/>
    </row>
    <row r="19" spans="1:17" ht="11.25">
      <c r="A19" s="489"/>
      <c r="B19" s="125" t="s">
        <v>159</v>
      </c>
      <c r="C19" s="411"/>
      <c r="D19" s="127"/>
      <c r="E19" s="337">
        <f>SUM(F19:G19)</f>
        <v>5018141</v>
      </c>
      <c r="F19" s="337">
        <f>SUM(F20:F21)+20496+33184</f>
        <v>1505443</v>
      </c>
      <c r="G19" s="337">
        <f>SUM(G20:G21)</f>
        <v>3512698</v>
      </c>
      <c r="H19" s="337">
        <f>SUM(I19,M19)</f>
        <v>1551891</v>
      </c>
      <c r="I19" s="337">
        <f>J19+K19+L19</f>
        <v>427992</v>
      </c>
      <c r="J19" s="337">
        <v>0</v>
      </c>
      <c r="K19" s="337">
        <v>0</v>
      </c>
      <c r="L19" s="337">
        <f>321114+106878</f>
        <v>427992</v>
      </c>
      <c r="M19" s="337">
        <f>N19+O19+P19+Q19</f>
        <v>1123899</v>
      </c>
      <c r="N19" s="337">
        <v>0</v>
      </c>
      <c r="O19" s="337">
        <v>0</v>
      </c>
      <c r="P19" s="337">
        <v>0</v>
      </c>
      <c r="Q19" s="337">
        <v>1123899</v>
      </c>
    </row>
    <row r="20" spans="1:18" ht="11.25" customHeight="1">
      <c r="A20" s="489"/>
      <c r="B20" s="125" t="s">
        <v>298</v>
      </c>
      <c r="C20" s="502">
        <v>23</v>
      </c>
      <c r="D20" s="504" t="s">
        <v>169</v>
      </c>
      <c r="E20" s="337">
        <f>SUM(F20,G20)</f>
        <v>1551891</v>
      </c>
      <c r="F20" s="337">
        <f>SUM(I19)</f>
        <v>427992</v>
      </c>
      <c r="G20" s="337">
        <f>SUM(M19)</f>
        <v>1123899</v>
      </c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265"/>
    </row>
    <row r="21" spans="1:17" ht="11.25">
      <c r="A21" s="489"/>
      <c r="B21" s="125" t="s">
        <v>326</v>
      </c>
      <c r="C21" s="503"/>
      <c r="D21" s="505"/>
      <c r="E21" s="337">
        <f>SUM(F21,G21)</f>
        <v>3412570</v>
      </c>
      <c r="F21" s="337">
        <f>682514+341257</f>
        <v>1023771</v>
      </c>
      <c r="G21" s="337">
        <v>2388799</v>
      </c>
      <c r="H21" s="522"/>
      <c r="I21" s="522"/>
      <c r="J21" s="522"/>
      <c r="K21" s="522"/>
      <c r="L21" s="522"/>
      <c r="M21" s="522"/>
      <c r="N21" s="522"/>
      <c r="O21" s="522"/>
      <c r="P21" s="522"/>
      <c r="Q21" s="522"/>
    </row>
    <row r="22" spans="1:17" ht="11.25">
      <c r="A22" s="489"/>
      <c r="B22" s="125" t="s">
        <v>194</v>
      </c>
      <c r="C22" s="503"/>
      <c r="D22" s="505"/>
      <c r="E22" s="337">
        <f>SUM(F22,G22)</f>
        <v>0</v>
      </c>
      <c r="F22" s="337">
        <v>0</v>
      </c>
      <c r="G22" s="337">
        <v>0</v>
      </c>
      <c r="H22" s="522"/>
      <c r="I22" s="522"/>
      <c r="J22" s="522"/>
      <c r="K22" s="522"/>
      <c r="L22" s="522"/>
      <c r="M22" s="522"/>
      <c r="N22" s="522"/>
      <c r="O22" s="522"/>
      <c r="P22" s="522"/>
      <c r="Q22" s="522"/>
    </row>
    <row r="23" spans="1:17" ht="11.25">
      <c r="A23" s="489"/>
      <c r="B23" s="125" t="s">
        <v>195</v>
      </c>
      <c r="C23" s="503"/>
      <c r="D23" s="505"/>
      <c r="E23" s="337">
        <f>SUM(F23,G23)</f>
        <v>0</v>
      </c>
      <c r="F23" s="337">
        <v>0</v>
      </c>
      <c r="G23" s="337">
        <v>0</v>
      </c>
      <c r="H23" s="522"/>
      <c r="I23" s="522"/>
      <c r="J23" s="522"/>
      <c r="K23" s="522"/>
      <c r="L23" s="522"/>
      <c r="M23" s="522"/>
      <c r="N23" s="522"/>
      <c r="O23" s="522"/>
      <c r="P23" s="522"/>
      <c r="Q23" s="522"/>
    </row>
    <row r="24" spans="1:17" ht="12.75">
      <c r="A24" s="508" t="s">
        <v>263</v>
      </c>
      <c r="B24" s="125" t="s">
        <v>155</v>
      </c>
      <c r="C24" s="491" t="s">
        <v>262</v>
      </c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</row>
    <row r="25" spans="1:17" ht="12.75">
      <c r="A25" s="489"/>
      <c r="B25" s="125" t="s">
        <v>156</v>
      </c>
      <c r="C25" s="493" t="s">
        <v>185</v>
      </c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5"/>
    </row>
    <row r="26" spans="1:17" ht="12.75">
      <c r="A26" s="489"/>
      <c r="B26" s="125" t="s">
        <v>157</v>
      </c>
      <c r="C26" s="493" t="s">
        <v>193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5"/>
    </row>
    <row r="27" spans="1:18" ht="12.75" customHeight="1">
      <c r="A27" s="489"/>
      <c r="B27" s="125" t="s">
        <v>158</v>
      </c>
      <c r="C27" s="496" t="s">
        <v>197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8"/>
      <c r="R27" s="265"/>
    </row>
    <row r="28" spans="1:17" ht="11.25">
      <c r="A28" s="489"/>
      <c r="B28" s="125" t="s">
        <v>159</v>
      </c>
      <c r="C28" s="411"/>
      <c r="D28" s="127"/>
      <c r="E28" s="337">
        <f>SUM(F28:G28)</f>
        <v>14351171</v>
      </c>
      <c r="F28" s="337">
        <f>SUM(F29:F32)+39410+24400+4270</f>
        <v>5216245</v>
      </c>
      <c r="G28" s="337">
        <f>SUM(G29:G32)</f>
        <v>9134926</v>
      </c>
      <c r="H28" s="337">
        <f>SUM(I28,M28)</f>
        <v>2192158</v>
      </c>
      <c r="I28" s="337">
        <f>J28+K28+L28</f>
        <v>757829</v>
      </c>
      <c r="J28" s="337">
        <v>0</v>
      </c>
      <c r="K28" s="337">
        <v>0</v>
      </c>
      <c r="L28" s="337">
        <v>757829</v>
      </c>
      <c r="M28" s="337">
        <f>N28+O28+P28+Q28</f>
        <v>1434329</v>
      </c>
      <c r="N28" s="337">
        <v>0</v>
      </c>
      <c r="O28" s="337">
        <v>0</v>
      </c>
      <c r="P28" s="337">
        <v>0</v>
      </c>
      <c r="Q28" s="337">
        <v>1434329</v>
      </c>
    </row>
    <row r="29" spans="1:18" ht="11.25" customHeight="1">
      <c r="A29" s="489"/>
      <c r="B29" s="125" t="s">
        <v>298</v>
      </c>
      <c r="C29" s="502">
        <v>23</v>
      </c>
      <c r="D29" s="504" t="s">
        <v>169</v>
      </c>
      <c r="E29" s="337">
        <f>SUM(F29,G29)</f>
        <v>2192158</v>
      </c>
      <c r="F29" s="337">
        <f>SUM(I28)</f>
        <v>757829</v>
      </c>
      <c r="G29" s="337">
        <f>SUM(M28)</f>
        <v>1434329</v>
      </c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265"/>
    </row>
    <row r="30" spans="1:17" ht="11.25">
      <c r="A30" s="489"/>
      <c r="B30" s="125" t="s">
        <v>326</v>
      </c>
      <c r="C30" s="503"/>
      <c r="D30" s="505"/>
      <c r="E30" s="337">
        <f>SUM(F30,G30)</f>
        <v>3714212</v>
      </c>
      <c r="F30" s="337">
        <v>1500542</v>
      </c>
      <c r="G30" s="337">
        <v>2213670</v>
      </c>
      <c r="H30" s="522"/>
      <c r="I30" s="522"/>
      <c r="J30" s="522"/>
      <c r="K30" s="522"/>
      <c r="L30" s="522"/>
      <c r="M30" s="522"/>
      <c r="N30" s="522"/>
      <c r="O30" s="522"/>
      <c r="P30" s="522"/>
      <c r="Q30" s="522"/>
    </row>
    <row r="31" spans="1:17" ht="11.25">
      <c r="A31" s="489"/>
      <c r="B31" s="125" t="s">
        <v>194</v>
      </c>
      <c r="C31" s="503"/>
      <c r="D31" s="505"/>
      <c r="E31" s="337">
        <f>SUM(F31,G31)</f>
        <v>6696962</v>
      </c>
      <c r="F31" s="337">
        <v>2354198</v>
      </c>
      <c r="G31" s="337">
        <v>4342764</v>
      </c>
      <c r="H31" s="522"/>
      <c r="I31" s="522"/>
      <c r="J31" s="522"/>
      <c r="K31" s="522"/>
      <c r="L31" s="522"/>
      <c r="M31" s="522"/>
      <c r="N31" s="522"/>
      <c r="O31" s="522"/>
      <c r="P31" s="522"/>
      <c r="Q31" s="522"/>
    </row>
    <row r="32" spans="1:17" ht="11.25">
      <c r="A32" s="489"/>
      <c r="B32" s="125" t="s">
        <v>195</v>
      </c>
      <c r="C32" s="503"/>
      <c r="D32" s="505"/>
      <c r="E32" s="337">
        <f>SUM(F32,G32)</f>
        <v>1679759</v>
      </c>
      <c r="F32" s="337">
        <v>535596</v>
      </c>
      <c r="G32" s="337">
        <v>1144163</v>
      </c>
      <c r="H32" s="522"/>
      <c r="I32" s="522"/>
      <c r="J32" s="522"/>
      <c r="K32" s="522"/>
      <c r="L32" s="522"/>
      <c r="M32" s="522"/>
      <c r="N32" s="522"/>
      <c r="O32" s="522"/>
      <c r="P32" s="522"/>
      <c r="Q32" s="522"/>
    </row>
    <row r="33" spans="1:17" s="87" customFormat="1" ht="12.75">
      <c r="A33" s="508" t="s">
        <v>160</v>
      </c>
      <c r="B33" s="127" t="s">
        <v>155</v>
      </c>
      <c r="C33" s="491" t="s">
        <v>262</v>
      </c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</row>
    <row r="34" spans="1:17" s="87" customFormat="1" ht="15" customHeight="1">
      <c r="A34" s="489"/>
      <c r="B34" s="127" t="s">
        <v>156</v>
      </c>
      <c r="C34" s="493" t="s">
        <v>185</v>
      </c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5"/>
    </row>
    <row r="35" spans="1:17" s="87" customFormat="1" ht="11.25" customHeight="1">
      <c r="A35" s="489"/>
      <c r="B35" s="127" t="s">
        <v>157</v>
      </c>
      <c r="C35" s="493" t="s">
        <v>264</v>
      </c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5"/>
    </row>
    <row r="36" spans="1:17" s="87" customFormat="1" ht="12.75">
      <c r="A36" s="489"/>
      <c r="B36" s="127" t="s">
        <v>158</v>
      </c>
      <c r="C36" s="493" t="s">
        <v>265</v>
      </c>
      <c r="D36" s="494"/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5"/>
    </row>
    <row r="37" spans="1:17" s="87" customFormat="1" ht="11.25">
      <c r="A37" s="489"/>
      <c r="B37" s="127" t="s">
        <v>159</v>
      </c>
      <c r="C37" s="412"/>
      <c r="D37" s="412"/>
      <c r="E37" s="337">
        <f>SUM(F37:G37)</f>
        <v>4721589</v>
      </c>
      <c r="F37" s="337">
        <f>SUM(F38:F39)+54500</f>
        <v>1517058</v>
      </c>
      <c r="G37" s="337">
        <f>SUM(G38:G39)</f>
        <v>3204531</v>
      </c>
      <c r="H37" s="337">
        <f>SUM(I37,M37)</f>
        <v>4667089</v>
      </c>
      <c r="I37" s="337">
        <f>J37+K37+L37</f>
        <v>1462558</v>
      </c>
      <c r="J37" s="337">
        <v>0</v>
      </c>
      <c r="K37" s="337">
        <v>0</v>
      </c>
      <c r="L37" s="337">
        <v>1462558</v>
      </c>
      <c r="M37" s="337">
        <f>N37+O37+P37+Q37</f>
        <v>3204531</v>
      </c>
      <c r="N37" s="337">
        <v>0</v>
      </c>
      <c r="O37" s="337"/>
      <c r="P37" s="337">
        <v>0</v>
      </c>
      <c r="Q37" s="337">
        <v>3204531</v>
      </c>
    </row>
    <row r="38" spans="1:17" s="87" customFormat="1" ht="11.25" customHeight="1">
      <c r="A38" s="489"/>
      <c r="B38" s="125" t="s">
        <v>298</v>
      </c>
      <c r="C38" s="502">
        <v>23</v>
      </c>
      <c r="D38" s="504" t="s">
        <v>169</v>
      </c>
      <c r="E38" s="337">
        <f>SUM(F38,G38)</f>
        <v>4667089</v>
      </c>
      <c r="F38" s="337">
        <f>SUM(L37)</f>
        <v>1462558</v>
      </c>
      <c r="G38" s="337">
        <f>SUM(M37)</f>
        <v>3204531</v>
      </c>
      <c r="H38" s="523"/>
      <c r="I38" s="523"/>
      <c r="J38" s="523"/>
      <c r="K38" s="523"/>
      <c r="L38" s="523"/>
      <c r="M38" s="523"/>
      <c r="N38" s="523"/>
      <c r="O38" s="523"/>
      <c r="P38" s="523"/>
      <c r="Q38" s="523"/>
    </row>
    <row r="39" spans="1:17" s="87" customFormat="1" ht="11.25">
      <c r="A39" s="489"/>
      <c r="B39" s="125" t="s">
        <v>326</v>
      </c>
      <c r="C39" s="503"/>
      <c r="D39" s="505"/>
      <c r="E39" s="337">
        <f>SUM(F39,G39)</f>
        <v>0</v>
      </c>
      <c r="F39" s="337">
        <v>0</v>
      </c>
      <c r="G39" s="337">
        <v>0</v>
      </c>
      <c r="H39" s="524"/>
      <c r="I39" s="524"/>
      <c r="J39" s="524"/>
      <c r="K39" s="524"/>
      <c r="L39" s="524"/>
      <c r="M39" s="524"/>
      <c r="N39" s="524"/>
      <c r="O39" s="524"/>
      <c r="P39" s="524"/>
      <c r="Q39" s="524"/>
    </row>
    <row r="40" spans="1:17" s="87" customFormat="1" ht="11.25">
      <c r="A40" s="489"/>
      <c r="B40" s="125" t="s">
        <v>194</v>
      </c>
      <c r="C40" s="503"/>
      <c r="D40" s="505"/>
      <c r="E40" s="337">
        <f>SUM(F40,G40)</f>
        <v>0</v>
      </c>
      <c r="F40" s="337"/>
      <c r="G40" s="337"/>
      <c r="H40" s="524"/>
      <c r="I40" s="524"/>
      <c r="J40" s="524"/>
      <c r="K40" s="524"/>
      <c r="L40" s="524"/>
      <c r="M40" s="524"/>
      <c r="N40" s="524"/>
      <c r="O40" s="524"/>
      <c r="P40" s="524"/>
      <c r="Q40" s="524"/>
    </row>
    <row r="41" spans="1:17" s="87" customFormat="1" ht="11.25">
      <c r="A41" s="489"/>
      <c r="B41" s="125" t="s">
        <v>195</v>
      </c>
      <c r="C41" s="503"/>
      <c r="D41" s="505"/>
      <c r="E41" s="337">
        <f>SUM(F41,G41)</f>
        <v>0</v>
      </c>
      <c r="F41" s="337"/>
      <c r="G41" s="337"/>
      <c r="H41" s="525"/>
      <c r="I41" s="525"/>
      <c r="J41" s="525"/>
      <c r="K41" s="525"/>
      <c r="L41" s="525"/>
      <c r="M41" s="525"/>
      <c r="N41" s="525"/>
      <c r="O41" s="525"/>
      <c r="P41" s="525"/>
      <c r="Q41" s="525"/>
    </row>
    <row r="42" spans="1:17" s="87" customFormat="1" ht="12.75">
      <c r="A42" s="508" t="s">
        <v>163</v>
      </c>
      <c r="B42" s="127" t="s">
        <v>155</v>
      </c>
      <c r="C42" s="491" t="s">
        <v>262</v>
      </c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</row>
    <row r="43" spans="1:17" s="87" customFormat="1" ht="11.25" customHeight="1">
      <c r="A43" s="490"/>
      <c r="B43" s="127" t="s">
        <v>156</v>
      </c>
      <c r="C43" s="496" t="s">
        <v>185</v>
      </c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8"/>
    </row>
    <row r="44" spans="1:17" s="87" customFormat="1" ht="12.75">
      <c r="A44" s="408" t="s">
        <v>163</v>
      </c>
      <c r="B44" s="125" t="s">
        <v>157</v>
      </c>
      <c r="C44" s="493" t="s">
        <v>193</v>
      </c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5"/>
    </row>
    <row r="45" spans="1:17" s="87" customFormat="1" ht="12.75">
      <c r="A45" s="409"/>
      <c r="B45" s="125" t="s">
        <v>158</v>
      </c>
      <c r="C45" s="496" t="s">
        <v>209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8"/>
    </row>
    <row r="46" spans="1:17" s="87" customFormat="1" ht="11.25" customHeight="1">
      <c r="A46" s="409"/>
      <c r="B46" s="125" t="s">
        <v>159</v>
      </c>
      <c r="C46" s="88"/>
      <c r="D46" s="88"/>
      <c r="E46" s="126">
        <f>SUM(F46:G46)</f>
        <v>9251078</v>
      </c>
      <c r="F46" s="126">
        <f>SUM(F47:F50)+36600</f>
        <v>2775323</v>
      </c>
      <c r="G46" s="126">
        <f>SUM(G47:G50)</f>
        <v>6475755</v>
      </c>
      <c r="H46" s="126">
        <f>SUM(I46,M46)</f>
        <v>50000</v>
      </c>
      <c r="I46" s="126">
        <f>J46+K46+L46</f>
        <v>15000</v>
      </c>
      <c r="J46" s="126">
        <v>0</v>
      </c>
      <c r="K46" s="126">
        <v>0</v>
      </c>
      <c r="L46" s="126">
        <v>15000</v>
      </c>
      <c r="M46" s="126">
        <f>N46+O46+P46+Q46</f>
        <v>35000</v>
      </c>
      <c r="N46" s="126">
        <v>0</v>
      </c>
      <c r="O46" s="126"/>
      <c r="P46" s="126">
        <v>0</v>
      </c>
      <c r="Q46" s="126">
        <v>35000</v>
      </c>
    </row>
    <row r="47" spans="1:17" s="89" customFormat="1" ht="11.25" customHeight="1">
      <c r="A47" s="409"/>
      <c r="B47" s="125" t="s">
        <v>298</v>
      </c>
      <c r="C47" s="483">
        <v>23</v>
      </c>
      <c r="D47" s="486" t="s">
        <v>169</v>
      </c>
      <c r="E47" s="126">
        <f>SUM(F47,G47)</f>
        <v>50000</v>
      </c>
      <c r="F47" s="126">
        <f>SUM(I46)</f>
        <v>15000</v>
      </c>
      <c r="G47" s="126">
        <f>SUM(M46)</f>
        <v>35000</v>
      </c>
      <c r="H47" s="499"/>
      <c r="I47" s="499"/>
      <c r="J47" s="499"/>
      <c r="K47" s="499"/>
      <c r="L47" s="499"/>
      <c r="M47" s="499"/>
      <c r="N47" s="499"/>
      <c r="O47" s="499"/>
      <c r="P47" s="499"/>
      <c r="Q47" s="499"/>
    </row>
    <row r="48" spans="1:17" s="87" customFormat="1" ht="12.75" customHeight="1">
      <c r="A48" s="409"/>
      <c r="B48" s="125" t="s">
        <v>326</v>
      </c>
      <c r="C48" s="484"/>
      <c r="D48" s="487"/>
      <c r="E48" s="126">
        <f>SUM(F48,G48)</f>
        <v>3067163</v>
      </c>
      <c r="F48" s="126">
        <v>894529</v>
      </c>
      <c r="G48" s="126">
        <v>2172634</v>
      </c>
      <c r="H48" s="500"/>
      <c r="I48" s="500"/>
      <c r="J48" s="500"/>
      <c r="K48" s="500"/>
      <c r="L48" s="500"/>
      <c r="M48" s="500"/>
      <c r="N48" s="500"/>
      <c r="O48" s="500"/>
      <c r="P48" s="500"/>
      <c r="Q48" s="500"/>
    </row>
    <row r="49" spans="1:17" s="87" customFormat="1" ht="13.5" customHeight="1">
      <c r="A49" s="409"/>
      <c r="B49" s="125" t="s">
        <v>194</v>
      </c>
      <c r="C49" s="484"/>
      <c r="D49" s="487"/>
      <c r="E49" s="126">
        <f>SUM(F49,G49)</f>
        <v>3080538</v>
      </c>
      <c r="F49" s="126">
        <v>924161</v>
      </c>
      <c r="G49" s="126">
        <v>2156377</v>
      </c>
      <c r="H49" s="501"/>
      <c r="I49" s="501"/>
      <c r="J49" s="501"/>
      <c r="K49" s="501"/>
      <c r="L49" s="501"/>
      <c r="M49" s="501"/>
      <c r="N49" s="501"/>
      <c r="O49" s="501"/>
      <c r="P49" s="501"/>
      <c r="Q49" s="501"/>
    </row>
    <row r="50" spans="1:17" s="87" customFormat="1" ht="13.5" customHeight="1">
      <c r="A50" s="410"/>
      <c r="B50" s="125" t="s">
        <v>195</v>
      </c>
      <c r="C50" s="485"/>
      <c r="D50" s="488"/>
      <c r="E50" s="126">
        <f>SUM(F50,G50)</f>
        <v>3016777</v>
      </c>
      <c r="F50" s="126">
        <v>905033</v>
      </c>
      <c r="G50" s="126">
        <v>2111744</v>
      </c>
      <c r="H50" s="404"/>
      <c r="I50" s="404"/>
      <c r="J50" s="404"/>
      <c r="K50" s="404"/>
      <c r="L50" s="404"/>
      <c r="M50" s="404"/>
      <c r="N50" s="404"/>
      <c r="O50" s="404"/>
      <c r="P50" s="404"/>
      <c r="Q50" s="404"/>
    </row>
    <row r="51" spans="1:17" s="264" customFormat="1" ht="12.75" hidden="1">
      <c r="A51" s="489" t="s">
        <v>163</v>
      </c>
      <c r="B51" s="417" t="s">
        <v>155</v>
      </c>
      <c r="C51" s="509" t="s">
        <v>262</v>
      </c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</row>
    <row r="52" spans="1:17" s="264" customFormat="1" ht="12.75" hidden="1">
      <c r="A52" s="489"/>
      <c r="B52" s="127" t="s">
        <v>156</v>
      </c>
      <c r="C52" s="493" t="s">
        <v>185</v>
      </c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5"/>
    </row>
    <row r="53" spans="1:17" s="264" customFormat="1" ht="12.75" hidden="1">
      <c r="A53" s="489"/>
      <c r="B53" s="127" t="s">
        <v>157</v>
      </c>
      <c r="C53" s="493" t="s">
        <v>193</v>
      </c>
      <c r="D53" s="494"/>
      <c r="E53" s="494"/>
      <c r="F53" s="494"/>
      <c r="G53" s="494"/>
      <c r="H53" s="494"/>
      <c r="I53" s="494"/>
      <c r="J53" s="494"/>
      <c r="K53" s="494"/>
      <c r="L53" s="494"/>
      <c r="M53" s="494"/>
      <c r="N53" s="494"/>
      <c r="O53" s="494"/>
      <c r="P53" s="494"/>
      <c r="Q53" s="495"/>
    </row>
    <row r="54" spans="1:17" s="264" customFormat="1" ht="12.75" hidden="1">
      <c r="A54" s="489"/>
      <c r="B54" s="127" t="s">
        <v>158</v>
      </c>
      <c r="C54" s="496" t="s">
        <v>197</v>
      </c>
      <c r="D54" s="497"/>
      <c r="E54" s="497"/>
      <c r="F54" s="497"/>
      <c r="G54" s="497"/>
      <c r="H54" s="497"/>
      <c r="I54" s="497"/>
      <c r="J54" s="497"/>
      <c r="K54" s="497"/>
      <c r="L54" s="497"/>
      <c r="M54" s="497"/>
      <c r="N54" s="497"/>
      <c r="O54" s="497"/>
      <c r="P54" s="497"/>
      <c r="Q54" s="498"/>
    </row>
    <row r="55" spans="1:17" ht="11.25" hidden="1">
      <c r="A55" s="489"/>
      <c r="B55" s="127" t="s">
        <v>159</v>
      </c>
      <c r="C55" s="483">
        <v>23</v>
      </c>
      <c r="D55" s="486" t="s">
        <v>169</v>
      </c>
      <c r="E55" s="126">
        <f>SUM(F55:G55)</f>
        <v>0</v>
      </c>
      <c r="F55" s="126">
        <v>0</v>
      </c>
      <c r="G55" s="126">
        <f>SUM(G56:G58)</f>
        <v>0</v>
      </c>
      <c r="H55" s="129">
        <f>SUM(I55,M55)</f>
        <v>0</v>
      </c>
      <c r="I55" s="129">
        <f>J55+K55+L55</f>
        <v>0</v>
      </c>
      <c r="J55" s="129">
        <v>0</v>
      </c>
      <c r="K55" s="129">
        <v>0</v>
      </c>
      <c r="L55" s="129">
        <v>0</v>
      </c>
      <c r="M55" s="129">
        <f>N55+O55+P55+Q55</f>
        <v>0</v>
      </c>
      <c r="N55" s="129">
        <v>0</v>
      </c>
      <c r="O55" s="129"/>
      <c r="P55" s="129">
        <v>0</v>
      </c>
      <c r="Q55" s="129">
        <v>0</v>
      </c>
    </row>
    <row r="56" spans="1:17" ht="11.25" hidden="1">
      <c r="A56" s="489"/>
      <c r="B56" s="125" t="s">
        <v>298</v>
      </c>
      <c r="C56" s="484"/>
      <c r="D56" s="487"/>
      <c r="E56" s="126">
        <f>SUM(F56:G56)</f>
        <v>0</v>
      </c>
      <c r="F56" s="126"/>
      <c r="G56" s="130"/>
      <c r="H56" s="131"/>
      <c r="I56" s="131"/>
      <c r="J56" s="131"/>
      <c r="K56" s="131"/>
      <c r="L56" s="131"/>
      <c r="M56" s="132"/>
      <c r="N56" s="133"/>
      <c r="O56" s="133"/>
      <c r="P56" s="133"/>
      <c r="Q56" s="133"/>
    </row>
    <row r="57" spans="1:17" ht="11.25" hidden="1">
      <c r="A57" s="489"/>
      <c r="B57" s="125" t="s">
        <v>326</v>
      </c>
      <c r="C57" s="484"/>
      <c r="D57" s="487"/>
      <c r="E57" s="126">
        <f>SUM(F57,G57)</f>
        <v>0</v>
      </c>
      <c r="F57" s="126"/>
      <c r="G57" s="130"/>
      <c r="H57" s="134"/>
      <c r="I57" s="134"/>
      <c r="J57" s="134"/>
      <c r="K57" s="134"/>
      <c r="L57" s="134"/>
      <c r="M57" s="135"/>
      <c r="N57" s="136"/>
      <c r="O57" s="136"/>
      <c r="P57" s="136"/>
      <c r="Q57" s="136"/>
    </row>
    <row r="58" spans="1:17" ht="11.25" hidden="1">
      <c r="A58" s="489"/>
      <c r="B58" s="125" t="s">
        <v>194</v>
      </c>
      <c r="C58" s="484"/>
      <c r="D58" s="487"/>
      <c r="E58" s="126">
        <f>SUM(F58,G58)</f>
        <v>0</v>
      </c>
      <c r="F58" s="126">
        <v>0</v>
      </c>
      <c r="G58" s="130">
        <v>0</v>
      </c>
      <c r="H58" s="134"/>
      <c r="I58" s="134"/>
      <c r="J58" s="134"/>
      <c r="K58" s="134"/>
      <c r="L58" s="134"/>
      <c r="M58" s="135"/>
      <c r="N58" s="136"/>
      <c r="O58" s="136"/>
      <c r="P58" s="136"/>
      <c r="Q58" s="136"/>
    </row>
    <row r="59" spans="1:17" ht="11.25" hidden="1">
      <c r="A59" s="489"/>
      <c r="B59" s="125" t="s">
        <v>195</v>
      </c>
      <c r="C59" s="484"/>
      <c r="D59" s="487"/>
      <c r="E59" s="126">
        <f>SUM(F59,G59)</f>
        <v>0</v>
      </c>
      <c r="F59" s="126">
        <v>0</v>
      </c>
      <c r="G59" s="130">
        <v>0</v>
      </c>
      <c r="H59" s="134"/>
      <c r="I59" s="134"/>
      <c r="J59" s="134"/>
      <c r="K59" s="134"/>
      <c r="L59" s="134"/>
      <c r="M59" s="135"/>
      <c r="N59" s="136"/>
      <c r="O59" s="136"/>
      <c r="P59" s="136"/>
      <c r="Q59" s="136"/>
    </row>
    <row r="60" spans="1:17" ht="11.25" hidden="1">
      <c r="A60" s="490"/>
      <c r="B60" s="125" t="s">
        <v>196</v>
      </c>
      <c r="C60" s="485"/>
      <c r="D60" s="488"/>
      <c r="E60" s="126">
        <f>SUM(F60,G60)</f>
        <v>0</v>
      </c>
      <c r="F60" s="126">
        <v>0</v>
      </c>
      <c r="G60" s="130">
        <v>0</v>
      </c>
      <c r="H60" s="137"/>
      <c r="I60" s="137"/>
      <c r="J60" s="137"/>
      <c r="K60" s="137"/>
      <c r="L60" s="137"/>
      <c r="M60" s="128"/>
      <c r="N60" s="138"/>
      <c r="O60" s="138"/>
      <c r="P60" s="138"/>
      <c r="Q60" s="138"/>
    </row>
    <row r="61" spans="1:17" ht="12.75">
      <c r="A61" s="508" t="s">
        <v>266</v>
      </c>
      <c r="B61" s="127" t="s">
        <v>155</v>
      </c>
      <c r="C61" s="491" t="s">
        <v>262</v>
      </c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</row>
    <row r="62" spans="1:17" ht="12.75">
      <c r="A62" s="489"/>
      <c r="B62" s="127" t="s">
        <v>156</v>
      </c>
      <c r="C62" s="493" t="s">
        <v>185</v>
      </c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5"/>
    </row>
    <row r="63" spans="1:17" ht="12.75">
      <c r="A63" s="489"/>
      <c r="B63" s="127" t="s">
        <v>157</v>
      </c>
      <c r="C63" s="493" t="s">
        <v>267</v>
      </c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5"/>
    </row>
    <row r="64" spans="1:17" ht="12.75">
      <c r="A64" s="489"/>
      <c r="B64" s="127" t="s">
        <v>158</v>
      </c>
      <c r="C64" s="496" t="s">
        <v>268</v>
      </c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8"/>
    </row>
    <row r="65" spans="1:17" ht="11.25">
      <c r="A65" s="489"/>
      <c r="B65" s="127" t="s">
        <v>159</v>
      </c>
      <c r="C65" s="502">
        <v>23</v>
      </c>
      <c r="D65" s="504" t="s">
        <v>169</v>
      </c>
      <c r="E65" s="337">
        <f>SUM(F65:G65)</f>
        <v>4223547</v>
      </c>
      <c r="F65" s="337">
        <f>SUM(F66:F67)+26840</f>
        <v>1761261</v>
      </c>
      <c r="G65" s="337">
        <f>SUM(G66:G68)</f>
        <v>2462286</v>
      </c>
      <c r="H65" s="338">
        <f>SUM(I65,M65)</f>
        <v>4196707</v>
      </c>
      <c r="I65" s="338">
        <f>J65+K65+L65</f>
        <v>1734421</v>
      </c>
      <c r="J65" s="338">
        <v>0</v>
      </c>
      <c r="K65" s="338">
        <v>0</v>
      </c>
      <c r="L65" s="126">
        <v>1734421</v>
      </c>
      <c r="M65" s="338">
        <f>N65+O65+P65+Q65</f>
        <v>2462286</v>
      </c>
      <c r="N65" s="338">
        <v>0</v>
      </c>
      <c r="O65" s="338"/>
      <c r="P65" s="338">
        <v>0</v>
      </c>
      <c r="Q65" s="126">
        <v>2462286</v>
      </c>
    </row>
    <row r="66" spans="1:17" ht="11.25">
      <c r="A66" s="489"/>
      <c r="B66" s="125" t="s">
        <v>298</v>
      </c>
      <c r="C66" s="503"/>
      <c r="D66" s="505"/>
      <c r="E66" s="337">
        <f>SUM(F66:G66)</f>
        <v>4196707</v>
      </c>
      <c r="F66" s="337">
        <f>SUM(L65)</f>
        <v>1734421</v>
      </c>
      <c r="G66" s="339">
        <f>SUM(Q65)</f>
        <v>2462286</v>
      </c>
      <c r="H66" s="340"/>
      <c r="I66" s="340"/>
      <c r="J66" s="340"/>
      <c r="K66" s="340"/>
      <c r="L66" s="340"/>
      <c r="M66" s="341"/>
      <c r="N66" s="342"/>
      <c r="O66" s="342"/>
      <c r="P66" s="342"/>
      <c r="Q66" s="342"/>
    </row>
    <row r="67" spans="1:17" ht="11.25">
      <c r="A67" s="489"/>
      <c r="B67" s="125" t="s">
        <v>326</v>
      </c>
      <c r="C67" s="503"/>
      <c r="D67" s="505"/>
      <c r="E67" s="337">
        <f>SUM(F67,G67)</f>
        <v>0</v>
      </c>
      <c r="F67" s="126">
        <v>0</v>
      </c>
      <c r="G67" s="126">
        <v>0</v>
      </c>
      <c r="H67" s="343"/>
      <c r="I67" s="343"/>
      <c r="J67" s="343"/>
      <c r="K67" s="343"/>
      <c r="L67" s="343"/>
      <c r="M67" s="344"/>
      <c r="N67" s="345"/>
      <c r="O67" s="345"/>
      <c r="P67" s="345"/>
      <c r="Q67" s="345"/>
    </row>
    <row r="68" spans="1:17" ht="11.25">
      <c r="A68" s="489"/>
      <c r="B68" s="125" t="s">
        <v>194</v>
      </c>
      <c r="C68" s="503"/>
      <c r="D68" s="505"/>
      <c r="E68" s="337">
        <f>SUM(F68,G68)</f>
        <v>0</v>
      </c>
      <c r="F68" s="337">
        <v>0</v>
      </c>
      <c r="G68" s="339">
        <v>0</v>
      </c>
      <c r="H68" s="343"/>
      <c r="I68" s="343"/>
      <c r="J68" s="343"/>
      <c r="K68" s="343"/>
      <c r="L68" s="343"/>
      <c r="M68" s="344"/>
      <c r="N68" s="345"/>
      <c r="O68" s="345"/>
      <c r="P68" s="345"/>
      <c r="Q68" s="345"/>
    </row>
    <row r="69" spans="1:17" ht="11.25">
      <c r="A69" s="489"/>
      <c r="B69" s="125" t="s">
        <v>195</v>
      </c>
      <c r="C69" s="503"/>
      <c r="D69" s="505"/>
      <c r="E69" s="337">
        <f>SUM(F69,G69)</f>
        <v>0</v>
      </c>
      <c r="F69" s="337">
        <v>0</v>
      </c>
      <c r="G69" s="339">
        <v>0</v>
      </c>
      <c r="H69" s="343"/>
      <c r="I69" s="343"/>
      <c r="J69" s="343"/>
      <c r="K69" s="343"/>
      <c r="L69" s="343"/>
      <c r="M69" s="344"/>
      <c r="N69" s="345"/>
      <c r="O69" s="345"/>
      <c r="P69" s="345"/>
      <c r="Q69" s="345"/>
    </row>
    <row r="70" spans="1:17" ht="12.75">
      <c r="A70" s="508" t="s">
        <v>269</v>
      </c>
      <c r="B70" s="127" t="s">
        <v>155</v>
      </c>
      <c r="C70" s="491" t="s">
        <v>262</v>
      </c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</row>
    <row r="71" spans="1:17" ht="12.75">
      <c r="A71" s="489"/>
      <c r="B71" s="127" t="s">
        <v>156</v>
      </c>
      <c r="C71" s="493" t="s">
        <v>270</v>
      </c>
      <c r="D71" s="494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5"/>
    </row>
    <row r="72" spans="1:17" ht="12.75">
      <c r="A72" s="489"/>
      <c r="B72" s="127" t="s">
        <v>157</v>
      </c>
      <c r="C72" s="493" t="s">
        <v>272</v>
      </c>
      <c r="D72" s="494"/>
      <c r="E72" s="494"/>
      <c r="F72" s="494"/>
      <c r="G72" s="494"/>
      <c r="H72" s="494"/>
      <c r="I72" s="494"/>
      <c r="J72" s="494"/>
      <c r="K72" s="494"/>
      <c r="L72" s="494"/>
      <c r="M72" s="494"/>
      <c r="N72" s="494"/>
      <c r="O72" s="494"/>
      <c r="P72" s="494"/>
      <c r="Q72" s="495"/>
    </row>
    <row r="73" spans="1:17" ht="12.75">
      <c r="A73" s="489"/>
      <c r="B73" s="127" t="s">
        <v>158</v>
      </c>
      <c r="C73" s="496" t="s">
        <v>273</v>
      </c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8"/>
    </row>
    <row r="74" spans="1:17" ht="11.25">
      <c r="A74" s="489"/>
      <c r="B74" s="127" t="s">
        <v>159</v>
      </c>
      <c r="C74" s="349">
        <v>57</v>
      </c>
      <c r="D74" s="350"/>
      <c r="E74" s="337">
        <f>SUM(F74:G74)</f>
        <v>12470</v>
      </c>
      <c r="F74" s="337">
        <f>SUM(F75:F76)</f>
        <v>12470</v>
      </c>
      <c r="G74" s="337">
        <f>SUM(G75:G77)</f>
        <v>0</v>
      </c>
      <c r="H74" s="337">
        <f>SUM(I74,M74)</f>
        <v>12470</v>
      </c>
      <c r="I74" s="337">
        <f>J74+K74+L74</f>
        <v>12470</v>
      </c>
      <c r="J74" s="337">
        <v>0</v>
      </c>
      <c r="K74" s="337">
        <v>0</v>
      </c>
      <c r="L74" s="337">
        <f>300+12170</f>
        <v>12470</v>
      </c>
      <c r="M74" s="337">
        <f>N74+O74+P74+Q74</f>
        <v>0</v>
      </c>
      <c r="N74" s="337">
        <v>0</v>
      </c>
      <c r="O74" s="337"/>
      <c r="P74" s="337">
        <v>0</v>
      </c>
      <c r="Q74" s="337">
        <v>0</v>
      </c>
    </row>
    <row r="75" spans="1:17" ht="11.25">
      <c r="A75" s="489"/>
      <c r="B75" s="125" t="s">
        <v>298</v>
      </c>
      <c r="C75" s="502">
        <v>57</v>
      </c>
      <c r="D75" s="504" t="s">
        <v>274</v>
      </c>
      <c r="E75" s="337">
        <f>SUM(F75:G75)</f>
        <v>12470</v>
      </c>
      <c r="F75" s="337">
        <f>SUM(I74)</f>
        <v>12470</v>
      </c>
      <c r="G75" s="339">
        <f>SUM(M74)</f>
        <v>0</v>
      </c>
      <c r="H75" s="340"/>
      <c r="I75" s="340"/>
      <c r="J75" s="340"/>
      <c r="K75" s="340"/>
      <c r="L75" s="340"/>
      <c r="M75" s="341"/>
      <c r="N75" s="342"/>
      <c r="O75" s="342"/>
      <c r="P75" s="342"/>
      <c r="Q75" s="342"/>
    </row>
    <row r="76" spans="1:17" ht="11.25">
      <c r="A76" s="489"/>
      <c r="B76" s="125" t="s">
        <v>326</v>
      </c>
      <c r="C76" s="503"/>
      <c r="D76" s="505"/>
      <c r="E76" s="337">
        <f>SUM(F76,G76)</f>
        <v>0</v>
      </c>
      <c r="F76" s="337">
        <v>0</v>
      </c>
      <c r="G76" s="339">
        <v>0</v>
      </c>
      <c r="H76" s="343"/>
      <c r="I76" s="343"/>
      <c r="J76" s="343"/>
      <c r="K76" s="343"/>
      <c r="L76" s="343"/>
      <c r="M76" s="344"/>
      <c r="N76" s="345"/>
      <c r="O76" s="345"/>
      <c r="P76" s="345"/>
      <c r="Q76" s="345"/>
    </row>
    <row r="77" spans="1:17" ht="11.25">
      <c r="A77" s="489"/>
      <c r="B77" s="125" t="s">
        <v>194</v>
      </c>
      <c r="C77" s="503"/>
      <c r="D77" s="505"/>
      <c r="E77" s="337">
        <f>SUM(F77,G77)</f>
        <v>0</v>
      </c>
      <c r="F77" s="337">
        <v>0</v>
      </c>
      <c r="G77" s="339">
        <v>0</v>
      </c>
      <c r="H77" s="343"/>
      <c r="I77" s="343"/>
      <c r="J77" s="343"/>
      <c r="K77" s="343"/>
      <c r="L77" s="343"/>
      <c r="M77" s="344"/>
      <c r="N77" s="345"/>
      <c r="O77" s="345"/>
      <c r="P77" s="345"/>
      <c r="Q77" s="345"/>
    </row>
    <row r="78" spans="1:17" ht="11.25">
      <c r="A78" s="490"/>
      <c r="B78" s="125" t="s">
        <v>195</v>
      </c>
      <c r="C78" s="503"/>
      <c r="D78" s="505"/>
      <c r="E78" s="337">
        <f>SUM(F78,G78)</f>
        <v>0</v>
      </c>
      <c r="F78" s="337">
        <v>0</v>
      </c>
      <c r="G78" s="339">
        <v>0</v>
      </c>
      <c r="H78" s="343"/>
      <c r="I78" s="343"/>
      <c r="J78" s="343"/>
      <c r="K78" s="343"/>
      <c r="L78" s="343"/>
      <c r="M78" s="344"/>
      <c r="N78" s="345"/>
      <c r="O78" s="345"/>
      <c r="P78" s="345"/>
      <c r="Q78" s="345"/>
    </row>
    <row r="79" spans="1:17" ht="12.75">
      <c r="A79" s="508" t="s">
        <v>275</v>
      </c>
      <c r="B79" s="127" t="s">
        <v>155</v>
      </c>
      <c r="C79" s="491" t="s">
        <v>262</v>
      </c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</row>
    <row r="80" spans="1:17" ht="12.75">
      <c r="A80" s="489"/>
      <c r="B80" s="127" t="s">
        <v>156</v>
      </c>
      <c r="C80" s="493" t="s">
        <v>270</v>
      </c>
      <c r="D80" s="494"/>
      <c r="E80" s="494"/>
      <c r="F80" s="494"/>
      <c r="G80" s="494"/>
      <c r="H80" s="494"/>
      <c r="I80" s="494"/>
      <c r="J80" s="494"/>
      <c r="K80" s="494"/>
      <c r="L80" s="494"/>
      <c r="M80" s="494"/>
      <c r="N80" s="494"/>
      <c r="O80" s="494"/>
      <c r="P80" s="494"/>
      <c r="Q80" s="495"/>
    </row>
    <row r="81" spans="1:17" ht="12.75">
      <c r="A81" s="489"/>
      <c r="B81" s="127" t="s">
        <v>157</v>
      </c>
      <c r="C81" s="493" t="s">
        <v>300</v>
      </c>
      <c r="D81" s="494"/>
      <c r="E81" s="494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5"/>
    </row>
    <row r="82" spans="1:17" ht="12.75">
      <c r="A82" s="489"/>
      <c r="B82" s="127" t="s">
        <v>158</v>
      </c>
      <c r="C82" s="496" t="s">
        <v>299</v>
      </c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8"/>
    </row>
    <row r="83" spans="1:17" ht="11.25">
      <c r="A83" s="489"/>
      <c r="B83" s="127" t="s">
        <v>159</v>
      </c>
      <c r="C83" s="349">
        <v>57</v>
      </c>
      <c r="D83" s="350"/>
      <c r="E83" s="337">
        <f>SUM(F83:G83)</f>
        <v>152150</v>
      </c>
      <c r="F83" s="337">
        <f>SUM(F84:F86)</f>
        <v>152150</v>
      </c>
      <c r="G83" s="337">
        <f>SUM(G84:G86)</f>
        <v>0</v>
      </c>
      <c r="H83" s="337">
        <f>SUM(I83,M83)</f>
        <v>88800</v>
      </c>
      <c r="I83" s="337">
        <f>J83+K83+L83</f>
        <v>88800</v>
      </c>
      <c r="J83" s="337">
        <v>0</v>
      </c>
      <c r="K83" s="337">
        <v>0</v>
      </c>
      <c r="L83" s="337">
        <v>88800</v>
      </c>
      <c r="M83" s="337">
        <f>N83+O83+P83+Q83</f>
        <v>0</v>
      </c>
      <c r="N83" s="337">
        <v>0</v>
      </c>
      <c r="O83" s="337"/>
      <c r="P83" s="337">
        <v>0</v>
      </c>
      <c r="Q83" s="337">
        <v>0</v>
      </c>
    </row>
    <row r="84" spans="1:17" ht="11.25">
      <c r="A84" s="489"/>
      <c r="B84" s="125" t="s">
        <v>298</v>
      </c>
      <c r="C84" s="502">
        <v>57</v>
      </c>
      <c r="D84" s="504" t="s">
        <v>274</v>
      </c>
      <c r="E84" s="337">
        <f>SUM(F84:G84)</f>
        <v>88800</v>
      </c>
      <c r="F84" s="337">
        <f>SUM(I83)</f>
        <v>88800</v>
      </c>
      <c r="G84" s="339">
        <f>SUM(M83)</f>
        <v>0</v>
      </c>
      <c r="H84" s="340"/>
      <c r="I84" s="340"/>
      <c r="J84" s="340"/>
      <c r="K84" s="340"/>
      <c r="L84" s="340"/>
      <c r="M84" s="341"/>
      <c r="N84" s="342"/>
      <c r="O84" s="342"/>
      <c r="P84" s="342"/>
      <c r="Q84" s="342"/>
    </row>
    <row r="85" spans="1:17" ht="11.25">
      <c r="A85" s="489"/>
      <c r="B85" s="125" t="s">
        <v>326</v>
      </c>
      <c r="C85" s="503"/>
      <c r="D85" s="505"/>
      <c r="E85" s="337">
        <f>SUM(F85,G85)</f>
        <v>35100</v>
      </c>
      <c r="F85" s="337">
        <v>35100</v>
      </c>
      <c r="G85" s="339">
        <v>0</v>
      </c>
      <c r="H85" s="343"/>
      <c r="I85" s="343"/>
      <c r="J85" s="343"/>
      <c r="K85" s="343"/>
      <c r="L85" s="343"/>
      <c r="M85" s="344"/>
      <c r="N85" s="345"/>
      <c r="O85" s="345"/>
      <c r="P85" s="345"/>
      <c r="Q85" s="345"/>
    </row>
    <row r="86" spans="1:17" ht="11.25">
      <c r="A86" s="489"/>
      <c r="B86" s="125" t="s">
        <v>194</v>
      </c>
      <c r="C86" s="503"/>
      <c r="D86" s="505"/>
      <c r="E86" s="337">
        <f>SUM(F86,G86)</f>
        <v>28250</v>
      </c>
      <c r="F86" s="337">
        <v>28250</v>
      </c>
      <c r="G86" s="339">
        <v>0</v>
      </c>
      <c r="H86" s="343"/>
      <c r="I86" s="343"/>
      <c r="J86" s="343"/>
      <c r="K86" s="343"/>
      <c r="L86" s="343"/>
      <c r="M86" s="344"/>
      <c r="N86" s="345"/>
      <c r="O86" s="345"/>
      <c r="P86" s="345"/>
      <c r="Q86" s="345"/>
    </row>
    <row r="87" spans="1:17" ht="11.25">
      <c r="A87" s="490"/>
      <c r="B87" s="125" t="s">
        <v>195</v>
      </c>
      <c r="C87" s="503"/>
      <c r="D87" s="505"/>
      <c r="E87" s="337">
        <f>SUM(F87,G87)</f>
        <v>0</v>
      </c>
      <c r="F87" s="337">
        <v>0</v>
      </c>
      <c r="G87" s="339">
        <v>0</v>
      </c>
      <c r="H87" s="343"/>
      <c r="I87" s="343"/>
      <c r="J87" s="343"/>
      <c r="K87" s="343"/>
      <c r="L87" s="343"/>
      <c r="M87" s="344"/>
      <c r="N87" s="345"/>
      <c r="O87" s="345"/>
      <c r="P87" s="345"/>
      <c r="Q87" s="345"/>
    </row>
    <row r="88" spans="1:17" ht="12.75" hidden="1">
      <c r="A88" s="508" t="s">
        <v>275</v>
      </c>
      <c r="B88" s="127" t="s">
        <v>155</v>
      </c>
      <c r="C88" s="491" t="s">
        <v>276</v>
      </c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</row>
    <row r="89" spans="1:17" ht="12.75" hidden="1">
      <c r="A89" s="489"/>
      <c r="B89" s="127" t="s">
        <v>156</v>
      </c>
      <c r="C89" s="493" t="s">
        <v>277</v>
      </c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5"/>
    </row>
    <row r="90" spans="1:17" ht="12.75" hidden="1">
      <c r="A90" s="489"/>
      <c r="B90" s="127" t="s">
        <v>157</v>
      </c>
      <c r="C90" s="493"/>
      <c r="D90" s="494"/>
      <c r="E90" s="494"/>
      <c r="F90" s="494"/>
      <c r="G90" s="494"/>
      <c r="H90" s="494"/>
      <c r="I90" s="494"/>
      <c r="J90" s="494"/>
      <c r="K90" s="494"/>
      <c r="L90" s="494"/>
      <c r="M90" s="494"/>
      <c r="N90" s="494"/>
      <c r="O90" s="494"/>
      <c r="P90" s="494"/>
      <c r="Q90" s="495"/>
    </row>
    <row r="91" spans="1:17" ht="12.75" hidden="1">
      <c r="A91" s="489"/>
      <c r="B91" s="127" t="s">
        <v>158</v>
      </c>
      <c r="C91" s="496" t="s">
        <v>278</v>
      </c>
      <c r="D91" s="497"/>
      <c r="E91" s="497"/>
      <c r="F91" s="497"/>
      <c r="G91" s="497"/>
      <c r="H91" s="497"/>
      <c r="I91" s="497"/>
      <c r="J91" s="497"/>
      <c r="K91" s="497"/>
      <c r="L91" s="497"/>
      <c r="M91" s="497"/>
      <c r="N91" s="497"/>
      <c r="O91" s="497"/>
      <c r="P91" s="497"/>
      <c r="Q91" s="498"/>
    </row>
    <row r="92" spans="1:17" ht="11.25" hidden="1">
      <c r="A92" s="489"/>
      <c r="B92" s="127" t="s">
        <v>159</v>
      </c>
      <c r="C92" s="351"/>
      <c r="D92" s="350"/>
      <c r="E92" s="337">
        <f>SUM(F92:G92)</f>
        <v>0</v>
      </c>
      <c r="F92" s="337">
        <f>SUM(F93:F94)</f>
        <v>0</v>
      </c>
      <c r="G92" s="337">
        <f>SUM(G93:G95)</f>
        <v>0</v>
      </c>
      <c r="H92" s="337">
        <f>SUM(I92,M92)</f>
        <v>0</v>
      </c>
      <c r="I92" s="337">
        <f>J92+K92+L92</f>
        <v>0</v>
      </c>
      <c r="J92" s="337">
        <v>0</v>
      </c>
      <c r="K92" s="337">
        <v>0</v>
      </c>
      <c r="L92" s="337">
        <v>0</v>
      </c>
      <c r="M92" s="337">
        <f>N92+O92+P92+Q92</f>
        <v>0</v>
      </c>
      <c r="N92" s="337">
        <v>0</v>
      </c>
      <c r="O92" s="337"/>
      <c r="P92" s="337">
        <v>0</v>
      </c>
      <c r="Q92" s="337">
        <v>0</v>
      </c>
    </row>
    <row r="93" spans="1:17" ht="11.25" hidden="1">
      <c r="A93" s="489"/>
      <c r="B93" s="125" t="s">
        <v>298</v>
      </c>
      <c r="C93" s="515"/>
      <c r="D93" s="504" t="s">
        <v>279</v>
      </c>
      <c r="E93" s="337">
        <f>SUM(F93:G93)</f>
        <v>0</v>
      </c>
      <c r="F93" s="337">
        <f>SUM(I92)</f>
        <v>0</v>
      </c>
      <c r="G93" s="339">
        <f>SUM(M92)</f>
        <v>0</v>
      </c>
      <c r="H93" s="340"/>
      <c r="I93" s="340"/>
      <c r="J93" s="340"/>
      <c r="K93" s="340"/>
      <c r="L93" s="340"/>
      <c r="M93" s="341"/>
      <c r="N93" s="342"/>
      <c r="O93" s="342"/>
      <c r="P93" s="345"/>
      <c r="Q93" s="345"/>
    </row>
    <row r="94" spans="1:17" ht="11.25" hidden="1">
      <c r="A94" s="489"/>
      <c r="B94" s="125" t="s">
        <v>326</v>
      </c>
      <c r="C94" s="516"/>
      <c r="D94" s="505"/>
      <c r="E94" s="337">
        <f>SUM(F94,G94)</f>
        <v>0</v>
      </c>
      <c r="F94" s="337">
        <v>0</v>
      </c>
      <c r="G94" s="339">
        <v>0</v>
      </c>
      <c r="H94" s="343"/>
      <c r="I94" s="343"/>
      <c r="J94" s="343"/>
      <c r="K94" s="343"/>
      <c r="L94" s="343"/>
      <c r="M94" s="344"/>
      <c r="N94" s="345"/>
      <c r="O94" s="345"/>
      <c r="P94" s="345"/>
      <c r="Q94" s="345"/>
    </row>
    <row r="95" spans="1:17" ht="11.25" hidden="1">
      <c r="A95" s="489"/>
      <c r="B95" s="125" t="s">
        <v>194</v>
      </c>
      <c r="C95" s="516"/>
      <c r="D95" s="505"/>
      <c r="E95" s="337">
        <f>SUM(F95,G95)</f>
        <v>0</v>
      </c>
      <c r="F95" s="337">
        <v>0</v>
      </c>
      <c r="G95" s="339">
        <v>0</v>
      </c>
      <c r="H95" s="343"/>
      <c r="I95" s="343"/>
      <c r="J95" s="343"/>
      <c r="K95" s="343"/>
      <c r="L95" s="343"/>
      <c r="M95" s="344"/>
      <c r="N95" s="345"/>
      <c r="O95" s="345"/>
      <c r="P95" s="345"/>
      <c r="Q95" s="345"/>
    </row>
    <row r="96" spans="1:17" ht="11.25" hidden="1">
      <c r="A96" s="489"/>
      <c r="B96" s="125" t="s">
        <v>195</v>
      </c>
      <c r="C96" s="516"/>
      <c r="D96" s="505"/>
      <c r="E96" s="337">
        <f>SUM(F96,G96)</f>
        <v>0</v>
      </c>
      <c r="F96" s="337">
        <v>0</v>
      </c>
      <c r="G96" s="339">
        <v>0</v>
      </c>
      <c r="H96" s="343"/>
      <c r="I96" s="343"/>
      <c r="J96" s="343"/>
      <c r="K96" s="343"/>
      <c r="L96" s="343"/>
      <c r="M96" s="344"/>
      <c r="N96" s="345"/>
      <c r="O96" s="345"/>
      <c r="P96" s="345"/>
      <c r="Q96" s="345"/>
    </row>
    <row r="97" spans="1:17" ht="11.25" hidden="1">
      <c r="A97" s="490"/>
      <c r="B97" s="125" t="s">
        <v>196</v>
      </c>
      <c r="C97" s="517"/>
      <c r="D97" s="507"/>
      <c r="E97" s="337">
        <f>SUM(F97,G97)</f>
        <v>0</v>
      </c>
      <c r="F97" s="337">
        <v>0</v>
      </c>
      <c r="G97" s="339">
        <v>0</v>
      </c>
      <c r="H97" s="346"/>
      <c r="I97" s="346"/>
      <c r="J97" s="346"/>
      <c r="K97" s="346"/>
      <c r="L97" s="346"/>
      <c r="M97" s="347"/>
      <c r="N97" s="348"/>
      <c r="O97" s="348"/>
      <c r="P97" s="348"/>
      <c r="Q97" s="348"/>
    </row>
    <row r="98" spans="1:17" ht="11.25">
      <c r="A98" s="207">
        <v>2</v>
      </c>
      <c r="B98" s="208" t="s">
        <v>161</v>
      </c>
      <c r="C98" s="514" t="s">
        <v>153</v>
      </c>
      <c r="D98" s="514"/>
      <c r="E98" s="263">
        <f>SUM(E103,E112,E122,E161,E131,E141,E151)</f>
        <v>1656738</v>
      </c>
      <c r="F98" s="263">
        <f aca="true" t="shared" si="1" ref="F98:Q98">SUM(F103,F112,F122,F161,F131,F141,F151)</f>
        <v>142923</v>
      </c>
      <c r="G98" s="263">
        <f t="shared" si="1"/>
        <v>1513815</v>
      </c>
      <c r="H98" s="263">
        <f t="shared" si="1"/>
        <v>1070061</v>
      </c>
      <c r="I98" s="263">
        <f t="shared" si="1"/>
        <v>129580</v>
      </c>
      <c r="J98" s="263">
        <f t="shared" si="1"/>
        <v>0</v>
      </c>
      <c r="K98" s="263">
        <f t="shared" si="1"/>
        <v>0</v>
      </c>
      <c r="L98" s="263">
        <f t="shared" si="1"/>
        <v>129580</v>
      </c>
      <c r="M98" s="263">
        <f t="shared" si="1"/>
        <v>940481</v>
      </c>
      <c r="N98" s="263">
        <f t="shared" si="1"/>
        <v>0</v>
      </c>
      <c r="O98" s="263">
        <f t="shared" si="1"/>
        <v>0</v>
      </c>
      <c r="P98" s="263">
        <f t="shared" si="1"/>
        <v>0</v>
      </c>
      <c r="Q98" s="263">
        <f t="shared" si="1"/>
        <v>940481</v>
      </c>
    </row>
    <row r="99" spans="1:17" ht="12.75">
      <c r="A99" s="418" t="s">
        <v>280</v>
      </c>
      <c r="B99" s="127" t="s">
        <v>155</v>
      </c>
      <c r="C99" s="491" t="s">
        <v>276</v>
      </c>
      <c r="D99" s="492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</row>
    <row r="100" spans="1:17" ht="12.75">
      <c r="A100" s="408" t="s">
        <v>280</v>
      </c>
      <c r="B100" s="125" t="s">
        <v>156</v>
      </c>
      <c r="C100" s="493" t="s">
        <v>277</v>
      </c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5"/>
    </row>
    <row r="101" spans="1:17" ht="11.25" customHeight="1">
      <c r="A101" s="409"/>
      <c r="B101" s="125" t="s">
        <v>157</v>
      </c>
      <c r="C101" s="493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5"/>
    </row>
    <row r="102" spans="1:17" ht="12.75">
      <c r="A102" s="409"/>
      <c r="B102" s="125" t="s">
        <v>158</v>
      </c>
      <c r="C102" s="496" t="s">
        <v>278</v>
      </c>
      <c r="D102" s="497"/>
      <c r="E102" s="497"/>
      <c r="F102" s="497"/>
      <c r="G102" s="497"/>
      <c r="H102" s="497"/>
      <c r="I102" s="497"/>
      <c r="J102" s="497"/>
      <c r="K102" s="497"/>
      <c r="L102" s="497"/>
      <c r="M102" s="497"/>
      <c r="N102" s="497"/>
      <c r="O102" s="497"/>
      <c r="P102" s="497"/>
      <c r="Q102" s="498"/>
    </row>
    <row r="103" spans="1:17" ht="11.25">
      <c r="A103" s="409"/>
      <c r="B103" s="125" t="s">
        <v>159</v>
      </c>
      <c r="C103" s="351"/>
      <c r="D103" s="350"/>
      <c r="E103" s="337">
        <f>G103</f>
        <v>97010</v>
      </c>
      <c r="F103" s="337">
        <v>0</v>
      </c>
      <c r="G103" s="337">
        <f>SUM(G104:G106)+2102</f>
        <v>97010</v>
      </c>
      <c r="H103" s="337">
        <f>SUM(I103,M103)</f>
        <v>38419</v>
      </c>
      <c r="I103" s="337">
        <f>J103+K103+L103</f>
        <v>0</v>
      </c>
      <c r="J103" s="337">
        <v>0</v>
      </c>
      <c r="K103" s="337">
        <v>0</v>
      </c>
      <c r="L103" s="337">
        <v>0</v>
      </c>
      <c r="M103" s="337">
        <f>N103+O103+P103+Q103</f>
        <v>38419</v>
      </c>
      <c r="N103" s="337">
        <v>0</v>
      </c>
      <c r="O103" s="337"/>
      <c r="P103" s="337">
        <v>0</v>
      </c>
      <c r="Q103" s="337">
        <v>38419</v>
      </c>
    </row>
    <row r="104" spans="1:17" ht="11.25">
      <c r="A104" s="409"/>
      <c r="B104" s="125" t="s">
        <v>298</v>
      </c>
      <c r="C104" s="351"/>
      <c r="D104" s="350"/>
      <c r="E104" s="337">
        <f>SUM(F104:G104)</f>
        <v>38419</v>
      </c>
      <c r="F104" s="337">
        <f>SUM(I103)</f>
        <v>0</v>
      </c>
      <c r="G104" s="339">
        <f>SUM(M103)</f>
        <v>38419</v>
      </c>
      <c r="H104" s="380"/>
      <c r="I104" s="380"/>
      <c r="J104" s="380"/>
      <c r="K104" s="380"/>
      <c r="L104" s="380"/>
      <c r="M104" s="381"/>
      <c r="N104" s="382"/>
      <c r="O104" s="382"/>
      <c r="P104" s="348"/>
      <c r="Q104" s="348"/>
    </row>
    <row r="105" spans="1:17" ht="15.75" customHeight="1">
      <c r="A105" s="489"/>
      <c r="B105" s="125" t="s">
        <v>326</v>
      </c>
      <c r="C105" s="352"/>
      <c r="D105" s="504" t="s">
        <v>279</v>
      </c>
      <c r="E105" s="337">
        <f>SUM(F105,G105)</f>
        <v>41423</v>
      </c>
      <c r="F105" s="337">
        <v>0</v>
      </c>
      <c r="G105" s="339">
        <v>41423</v>
      </c>
      <c r="H105" s="340"/>
      <c r="I105" s="340"/>
      <c r="J105" s="340"/>
      <c r="K105" s="340"/>
      <c r="L105" s="340"/>
      <c r="M105" s="341"/>
      <c r="N105" s="342"/>
      <c r="O105" s="342"/>
      <c r="P105" s="342"/>
      <c r="Q105" s="342"/>
    </row>
    <row r="106" spans="1:17" ht="11.25">
      <c r="A106" s="489"/>
      <c r="B106" s="125" t="s">
        <v>194</v>
      </c>
      <c r="C106" s="353"/>
      <c r="D106" s="505"/>
      <c r="E106" s="337">
        <f>SUM(F106,G106)</f>
        <v>15066</v>
      </c>
      <c r="F106" s="337">
        <v>0</v>
      </c>
      <c r="G106" s="339">
        <v>15066</v>
      </c>
      <c r="H106" s="343"/>
      <c r="I106" s="343"/>
      <c r="J106" s="343"/>
      <c r="K106" s="343"/>
      <c r="L106" s="343"/>
      <c r="M106" s="344"/>
      <c r="N106" s="345"/>
      <c r="O106" s="345"/>
      <c r="P106" s="345"/>
      <c r="Q106" s="345"/>
    </row>
    <row r="107" spans="1:17" ht="11.25">
      <c r="A107" s="490"/>
      <c r="B107" s="125" t="s">
        <v>195</v>
      </c>
      <c r="C107" s="354"/>
      <c r="D107" s="507"/>
      <c r="E107" s="337">
        <f>SUM(F107,G107)</f>
        <v>0</v>
      </c>
      <c r="F107" s="337">
        <v>0</v>
      </c>
      <c r="G107" s="339">
        <v>0</v>
      </c>
      <c r="H107" s="346"/>
      <c r="I107" s="346"/>
      <c r="J107" s="346"/>
      <c r="K107" s="346"/>
      <c r="L107" s="346"/>
      <c r="M107" s="347"/>
      <c r="N107" s="348"/>
      <c r="O107" s="348"/>
      <c r="P107" s="348"/>
      <c r="Q107" s="348"/>
    </row>
    <row r="108" spans="1:17" ht="12.75">
      <c r="A108" s="489" t="s">
        <v>281</v>
      </c>
      <c r="B108" s="127" t="s">
        <v>155</v>
      </c>
      <c r="C108" s="491" t="s">
        <v>282</v>
      </c>
      <c r="D108" s="492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</row>
    <row r="109" spans="1:17" ht="12.75">
      <c r="A109" s="489"/>
      <c r="B109" s="127" t="s">
        <v>156</v>
      </c>
      <c r="C109" s="493" t="s">
        <v>283</v>
      </c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5"/>
    </row>
    <row r="110" spans="1:17" ht="12.75">
      <c r="A110" s="489"/>
      <c r="B110" s="127" t="s">
        <v>157</v>
      </c>
      <c r="C110" s="493" t="s">
        <v>284</v>
      </c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5"/>
    </row>
    <row r="111" spans="1:17" ht="12.75">
      <c r="A111" s="489"/>
      <c r="B111" s="127" t="s">
        <v>158</v>
      </c>
      <c r="C111" s="496" t="s">
        <v>285</v>
      </c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498"/>
    </row>
    <row r="112" spans="1:17" ht="11.25">
      <c r="A112" s="489"/>
      <c r="B112" s="127" t="s">
        <v>159</v>
      </c>
      <c r="C112" s="351"/>
      <c r="D112" s="350"/>
      <c r="E112" s="337">
        <f>SUM(G112)</f>
        <v>154785</v>
      </c>
      <c r="F112" s="337">
        <f>SUM(F113:F116)</f>
        <v>0</v>
      </c>
      <c r="G112" s="337">
        <f>SUM(G113:G115)+78924</f>
        <v>154785</v>
      </c>
      <c r="H112" s="337">
        <f>SUM(I112,M112)</f>
        <v>75861</v>
      </c>
      <c r="I112" s="337">
        <f>J112+K112+L112</f>
        <v>0</v>
      </c>
      <c r="J112" s="337">
        <v>0</v>
      </c>
      <c r="K112" s="337">
        <v>0</v>
      </c>
      <c r="L112" s="337">
        <v>0</v>
      </c>
      <c r="M112" s="337">
        <f>N112+O112+P112+Q112</f>
        <v>75861</v>
      </c>
      <c r="N112" s="337">
        <v>0</v>
      </c>
      <c r="O112" s="337"/>
      <c r="P112" s="337">
        <v>0</v>
      </c>
      <c r="Q112" s="337">
        <v>75861</v>
      </c>
    </row>
    <row r="113" spans="1:17" ht="11.25">
      <c r="A113" s="489"/>
      <c r="B113" s="125" t="s">
        <v>298</v>
      </c>
      <c r="C113" s="502">
        <v>73</v>
      </c>
      <c r="D113" s="504" t="s">
        <v>286</v>
      </c>
      <c r="E113" s="337">
        <f>SUM(F113:G113)</f>
        <v>75861</v>
      </c>
      <c r="F113" s="337">
        <f>SUM(I112)</f>
        <v>0</v>
      </c>
      <c r="G113" s="339">
        <f>SUM(M112)</f>
        <v>75861</v>
      </c>
      <c r="H113" s="340"/>
      <c r="I113" s="340"/>
      <c r="J113" s="340"/>
      <c r="K113" s="340"/>
      <c r="L113" s="340"/>
      <c r="M113" s="341"/>
      <c r="N113" s="342"/>
      <c r="O113" s="342"/>
      <c r="P113" s="342"/>
      <c r="Q113" s="342"/>
    </row>
    <row r="114" spans="1:17" ht="11.25">
      <c r="A114" s="489"/>
      <c r="B114" s="125" t="s">
        <v>326</v>
      </c>
      <c r="C114" s="503"/>
      <c r="D114" s="505"/>
      <c r="E114" s="337">
        <f>SUM(F114,G114)</f>
        <v>0</v>
      </c>
      <c r="F114" s="337">
        <v>0</v>
      </c>
      <c r="G114" s="339">
        <v>0</v>
      </c>
      <c r="H114" s="343"/>
      <c r="I114" s="343"/>
      <c r="J114" s="343"/>
      <c r="K114" s="343"/>
      <c r="L114" s="343"/>
      <c r="M114" s="344"/>
      <c r="N114" s="345"/>
      <c r="O114" s="345"/>
      <c r="P114" s="345"/>
      <c r="Q114" s="345"/>
    </row>
    <row r="115" spans="1:17" ht="11.25">
      <c r="A115" s="489"/>
      <c r="B115" s="125" t="s">
        <v>194</v>
      </c>
      <c r="C115" s="503"/>
      <c r="D115" s="505"/>
      <c r="E115" s="337">
        <f>SUM(F115,G115)</f>
        <v>0</v>
      </c>
      <c r="F115" s="337">
        <v>0</v>
      </c>
      <c r="G115" s="339">
        <v>0</v>
      </c>
      <c r="H115" s="343"/>
      <c r="I115" s="343"/>
      <c r="J115" s="343"/>
      <c r="K115" s="343"/>
      <c r="L115" s="343"/>
      <c r="M115" s="344"/>
      <c r="N115" s="345"/>
      <c r="O115" s="345"/>
      <c r="P115" s="345"/>
      <c r="Q115" s="345"/>
    </row>
    <row r="116" spans="1:17" ht="11.25">
      <c r="A116" s="489"/>
      <c r="B116" s="125" t="s">
        <v>195</v>
      </c>
      <c r="C116" s="503"/>
      <c r="D116" s="505"/>
      <c r="E116" s="337">
        <f>SUM(F116,G116)</f>
        <v>0</v>
      </c>
      <c r="F116" s="337">
        <v>0</v>
      </c>
      <c r="G116" s="339">
        <v>0</v>
      </c>
      <c r="H116" s="343"/>
      <c r="I116" s="343"/>
      <c r="J116" s="343"/>
      <c r="K116" s="343"/>
      <c r="L116" s="343"/>
      <c r="M116" s="344"/>
      <c r="N116" s="345"/>
      <c r="O116" s="345"/>
      <c r="P116" s="345"/>
      <c r="Q116" s="345"/>
    </row>
    <row r="117" spans="1:17" ht="11.25">
      <c r="A117" s="490"/>
      <c r="B117" s="125" t="s">
        <v>196</v>
      </c>
      <c r="C117" s="506"/>
      <c r="D117" s="507"/>
      <c r="E117" s="337">
        <f>SUM(F117,G117)</f>
        <v>0</v>
      </c>
      <c r="F117" s="337">
        <v>0</v>
      </c>
      <c r="G117" s="339">
        <v>0</v>
      </c>
      <c r="H117" s="346"/>
      <c r="I117" s="346"/>
      <c r="J117" s="346"/>
      <c r="K117" s="346"/>
      <c r="L117" s="346"/>
      <c r="M117" s="347"/>
      <c r="N117" s="348"/>
      <c r="O117" s="348"/>
      <c r="P117" s="348"/>
      <c r="Q117" s="348"/>
    </row>
    <row r="118" spans="1:17" ht="12.75">
      <c r="A118" s="508" t="s">
        <v>287</v>
      </c>
      <c r="B118" s="127" t="s">
        <v>155</v>
      </c>
      <c r="C118" s="491" t="s">
        <v>282</v>
      </c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</row>
    <row r="119" spans="1:17" ht="12.75">
      <c r="A119" s="489"/>
      <c r="B119" s="127" t="s">
        <v>156</v>
      </c>
      <c r="C119" s="493" t="s">
        <v>288</v>
      </c>
      <c r="D119" s="494"/>
      <c r="E119" s="494"/>
      <c r="F119" s="494"/>
      <c r="G119" s="494"/>
      <c r="H119" s="494"/>
      <c r="I119" s="494"/>
      <c r="J119" s="494"/>
      <c r="K119" s="494"/>
      <c r="L119" s="494"/>
      <c r="M119" s="494"/>
      <c r="N119" s="494"/>
      <c r="O119" s="494"/>
      <c r="P119" s="494"/>
      <c r="Q119" s="495"/>
    </row>
    <row r="120" spans="1:17" ht="12.75">
      <c r="A120" s="489"/>
      <c r="B120" s="127" t="s">
        <v>157</v>
      </c>
      <c r="C120" s="493" t="s">
        <v>289</v>
      </c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5"/>
    </row>
    <row r="121" spans="1:17" ht="12.75">
      <c r="A121" s="489"/>
      <c r="B121" s="127" t="s">
        <v>158</v>
      </c>
      <c r="C121" s="496" t="s">
        <v>109</v>
      </c>
      <c r="D121" s="497"/>
      <c r="E121" s="497"/>
      <c r="F121" s="497"/>
      <c r="G121" s="497"/>
      <c r="H121" s="497"/>
      <c r="I121" s="497"/>
      <c r="J121" s="497"/>
      <c r="K121" s="497"/>
      <c r="L121" s="497"/>
      <c r="M121" s="497"/>
      <c r="N121" s="497"/>
      <c r="O121" s="497"/>
      <c r="P121" s="497"/>
      <c r="Q121" s="498"/>
    </row>
    <row r="122" spans="1:17" ht="11.25">
      <c r="A122" s="489"/>
      <c r="B122" s="127" t="s">
        <v>159</v>
      </c>
      <c r="C122" s="351"/>
      <c r="D122" s="350"/>
      <c r="E122" s="337">
        <f>SUM(G122)</f>
        <v>452074</v>
      </c>
      <c r="F122" s="337">
        <f>SUM(F123:F126)</f>
        <v>0</v>
      </c>
      <c r="G122" s="337">
        <f>SUM(G123:G126)+41159</f>
        <v>452074</v>
      </c>
      <c r="H122" s="337">
        <f>SUM(I122,M122)</f>
        <v>91872</v>
      </c>
      <c r="I122" s="337">
        <f>J122+K122+L122</f>
        <v>0</v>
      </c>
      <c r="J122" s="337">
        <v>0</v>
      </c>
      <c r="K122" s="337">
        <v>0</v>
      </c>
      <c r="L122" s="337">
        <v>0</v>
      </c>
      <c r="M122" s="337">
        <f>N122+O122+P122+Q122</f>
        <v>91872</v>
      </c>
      <c r="N122" s="337">
        <v>0</v>
      </c>
      <c r="O122" s="337"/>
      <c r="P122" s="337">
        <v>0</v>
      </c>
      <c r="Q122" s="337">
        <v>91872</v>
      </c>
    </row>
    <row r="123" spans="1:17" ht="11.25">
      <c r="A123" s="489"/>
      <c r="B123" s="125" t="s">
        <v>298</v>
      </c>
      <c r="C123" s="502">
        <v>65</v>
      </c>
      <c r="D123" s="504" t="s">
        <v>286</v>
      </c>
      <c r="E123" s="337">
        <f>SUM(F123:G123)</f>
        <v>91872</v>
      </c>
      <c r="F123" s="337">
        <f>SUM(I122)</f>
        <v>0</v>
      </c>
      <c r="G123" s="339">
        <f>SUM(M122)</f>
        <v>91872</v>
      </c>
      <c r="H123" s="340"/>
      <c r="I123" s="340"/>
      <c r="J123" s="340"/>
      <c r="K123" s="340"/>
      <c r="L123" s="340"/>
      <c r="M123" s="341"/>
      <c r="N123" s="342"/>
      <c r="O123" s="342"/>
      <c r="P123" s="345"/>
      <c r="Q123" s="345"/>
    </row>
    <row r="124" spans="1:17" ht="11.25">
      <c r="A124" s="489"/>
      <c r="B124" s="125" t="s">
        <v>326</v>
      </c>
      <c r="C124" s="503"/>
      <c r="D124" s="505"/>
      <c r="E124" s="337">
        <f>SUM(F124,G124)</f>
        <v>110312</v>
      </c>
      <c r="F124" s="337">
        <v>0</v>
      </c>
      <c r="G124" s="339">
        <v>110312</v>
      </c>
      <c r="H124" s="343"/>
      <c r="I124" s="343"/>
      <c r="J124" s="343"/>
      <c r="K124" s="343"/>
      <c r="L124" s="343"/>
      <c r="M124" s="344"/>
      <c r="N124" s="345"/>
      <c r="O124" s="345"/>
      <c r="P124" s="345"/>
      <c r="Q124" s="345"/>
    </row>
    <row r="125" spans="1:17" ht="11.25">
      <c r="A125" s="489"/>
      <c r="B125" s="125" t="s">
        <v>194</v>
      </c>
      <c r="C125" s="503"/>
      <c r="D125" s="505"/>
      <c r="E125" s="337">
        <f>SUM(F125,G125)</f>
        <v>117613</v>
      </c>
      <c r="F125" s="337">
        <v>0</v>
      </c>
      <c r="G125" s="339">
        <v>117613</v>
      </c>
      <c r="H125" s="343"/>
      <c r="I125" s="343"/>
      <c r="J125" s="343"/>
      <c r="K125" s="343"/>
      <c r="L125" s="343"/>
      <c r="M125" s="344"/>
      <c r="N125" s="345"/>
      <c r="O125" s="345"/>
      <c r="P125" s="345"/>
      <c r="Q125" s="345"/>
    </row>
    <row r="126" spans="1:17" ht="11.25">
      <c r="A126" s="489"/>
      <c r="B126" s="125" t="s">
        <v>195</v>
      </c>
      <c r="C126" s="503"/>
      <c r="D126" s="505"/>
      <c r="E126" s="337">
        <f>SUM(F126,G126)</f>
        <v>91118</v>
      </c>
      <c r="F126" s="337">
        <v>0</v>
      </c>
      <c r="G126" s="339">
        <v>91118</v>
      </c>
      <c r="H126" s="343"/>
      <c r="I126" s="343"/>
      <c r="J126" s="343"/>
      <c r="K126" s="343"/>
      <c r="L126" s="343"/>
      <c r="M126" s="344"/>
      <c r="N126" s="345"/>
      <c r="O126" s="345"/>
      <c r="P126" s="345"/>
      <c r="Q126" s="345"/>
    </row>
    <row r="127" spans="1:17" ht="12.75">
      <c r="A127" s="508" t="s">
        <v>290</v>
      </c>
      <c r="B127" s="127" t="s">
        <v>155</v>
      </c>
      <c r="C127" s="491" t="s">
        <v>282</v>
      </c>
      <c r="D127" s="492"/>
      <c r="E127" s="492"/>
      <c r="F127" s="492"/>
      <c r="G127" s="492"/>
      <c r="H127" s="492"/>
      <c r="I127" s="492"/>
      <c r="J127" s="492"/>
      <c r="K127" s="492"/>
      <c r="L127" s="492"/>
      <c r="M127" s="492"/>
      <c r="N127" s="492"/>
      <c r="O127" s="492"/>
      <c r="P127" s="492"/>
      <c r="Q127" s="492"/>
    </row>
    <row r="128" spans="1:17" ht="12.75">
      <c r="A128" s="489"/>
      <c r="B128" s="127" t="s">
        <v>156</v>
      </c>
      <c r="C128" s="493" t="s">
        <v>291</v>
      </c>
      <c r="D128" s="494"/>
      <c r="E128" s="494"/>
      <c r="F128" s="494"/>
      <c r="G128" s="494"/>
      <c r="H128" s="494"/>
      <c r="I128" s="494"/>
      <c r="J128" s="494"/>
      <c r="K128" s="494"/>
      <c r="L128" s="494"/>
      <c r="M128" s="494"/>
      <c r="N128" s="494"/>
      <c r="O128" s="494"/>
      <c r="P128" s="494"/>
      <c r="Q128" s="495"/>
    </row>
    <row r="129" spans="1:17" ht="12.75">
      <c r="A129" s="489"/>
      <c r="B129" s="127" t="s">
        <v>157</v>
      </c>
      <c r="C129" s="493" t="s">
        <v>292</v>
      </c>
      <c r="D129" s="494"/>
      <c r="E129" s="494"/>
      <c r="F129" s="494"/>
      <c r="G129" s="494"/>
      <c r="H129" s="494"/>
      <c r="I129" s="494"/>
      <c r="J129" s="494"/>
      <c r="K129" s="494"/>
      <c r="L129" s="494"/>
      <c r="M129" s="494"/>
      <c r="N129" s="494"/>
      <c r="O129" s="494"/>
      <c r="P129" s="494"/>
      <c r="Q129" s="495"/>
    </row>
    <row r="130" spans="1:17" ht="12.75">
      <c r="A130" s="489"/>
      <c r="B130" s="127" t="s">
        <v>158</v>
      </c>
      <c r="C130" s="496" t="s">
        <v>108</v>
      </c>
      <c r="D130" s="497"/>
      <c r="E130" s="497"/>
      <c r="F130" s="497"/>
      <c r="G130" s="497"/>
      <c r="H130" s="497"/>
      <c r="I130" s="497"/>
      <c r="J130" s="497"/>
      <c r="K130" s="497"/>
      <c r="L130" s="497"/>
      <c r="M130" s="497"/>
      <c r="N130" s="497"/>
      <c r="O130" s="497"/>
      <c r="P130" s="497"/>
      <c r="Q130" s="498"/>
    </row>
    <row r="131" spans="1:17" ht="11.25">
      <c r="A131" s="489"/>
      <c r="B131" s="127" t="s">
        <v>159</v>
      </c>
      <c r="C131" s="351"/>
      <c r="D131" s="350"/>
      <c r="E131" s="337">
        <f>SUM(E132:E135)</f>
        <v>146682</v>
      </c>
      <c r="F131" s="337">
        <f>SUM(F132:F135)</f>
        <v>22002</v>
      </c>
      <c r="G131" s="337">
        <f>SUM(G132:G134)</f>
        <v>124680</v>
      </c>
      <c r="H131" s="337">
        <f>SUM(I131,M131)</f>
        <v>146682</v>
      </c>
      <c r="I131" s="337">
        <f>J131+K131+L131</f>
        <v>22002</v>
      </c>
      <c r="J131" s="337">
        <v>0</v>
      </c>
      <c r="K131" s="337">
        <v>0</v>
      </c>
      <c r="L131" s="337">
        <v>22002</v>
      </c>
      <c r="M131" s="337">
        <f>N131+O131+P131+Q131</f>
        <v>124680</v>
      </c>
      <c r="N131" s="337">
        <v>0</v>
      </c>
      <c r="O131" s="337"/>
      <c r="P131" s="337">
        <v>0</v>
      </c>
      <c r="Q131" s="337">
        <v>124680</v>
      </c>
    </row>
    <row r="132" spans="1:17" ht="11.25">
      <c r="A132" s="489"/>
      <c r="B132" s="125" t="s">
        <v>298</v>
      </c>
      <c r="C132" s="502">
        <v>71</v>
      </c>
      <c r="D132" s="504" t="s">
        <v>286</v>
      </c>
      <c r="E132" s="337">
        <f>SUM(F132:G132)</f>
        <v>146682</v>
      </c>
      <c r="F132" s="337">
        <f>SUM(I131)</f>
        <v>22002</v>
      </c>
      <c r="G132" s="339">
        <f>SUM(M131)</f>
        <v>124680</v>
      </c>
      <c r="H132" s="340"/>
      <c r="I132" s="340"/>
      <c r="J132" s="340"/>
      <c r="K132" s="340"/>
      <c r="L132" s="340"/>
      <c r="M132" s="341"/>
      <c r="N132" s="342"/>
      <c r="O132" s="342"/>
      <c r="P132" s="345"/>
      <c r="Q132" s="345"/>
    </row>
    <row r="133" spans="1:17" ht="11.25">
      <c r="A133" s="489"/>
      <c r="B133" s="125" t="s">
        <v>326</v>
      </c>
      <c r="C133" s="503"/>
      <c r="D133" s="505"/>
      <c r="E133" s="337">
        <f>SUM(F133,G133)</f>
        <v>0</v>
      </c>
      <c r="F133" s="337">
        <v>0</v>
      </c>
      <c r="G133" s="339">
        <v>0</v>
      </c>
      <c r="H133" s="343"/>
      <c r="I133" s="343"/>
      <c r="J133" s="343"/>
      <c r="K133" s="343"/>
      <c r="L133" s="343"/>
      <c r="M133" s="344"/>
      <c r="N133" s="345"/>
      <c r="O133" s="345"/>
      <c r="P133" s="345"/>
      <c r="Q133" s="345"/>
    </row>
    <row r="134" spans="1:17" ht="11.25">
      <c r="A134" s="489"/>
      <c r="B134" s="125" t="s">
        <v>194</v>
      </c>
      <c r="C134" s="503"/>
      <c r="D134" s="505"/>
      <c r="E134" s="337">
        <f>SUM(F134,G134)</f>
        <v>0</v>
      </c>
      <c r="F134" s="337">
        <v>0</v>
      </c>
      <c r="G134" s="339">
        <v>0</v>
      </c>
      <c r="H134" s="343"/>
      <c r="I134" s="343"/>
      <c r="J134" s="343"/>
      <c r="K134" s="343"/>
      <c r="L134" s="343"/>
      <c r="M134" s="344"/>
      <c r="N134" s="345"/>
      <c r="O134" s="345"/>
      <c r="P134" s="345"/>
      <c r="Q134" s="345"/>
    </row>
    <row r="135" spans="1:17" ht="11.25">
      <c r="A135" s="489"/>
      <c r="B135" s="125" t="s">
        <v>195</v>
      </c>
      <c r="C135" s="503"/>
      <c r="D135" s="505"/>
      <c r="E135" s="337">
        <f>SUM(F135,G135)</f>
        <v>0</v>
      </c>
      <c r="F135" s="337">
        <v>0</v>
      </c>
      <c r="G135" s="339">
        <v>0</v>
      </c>
      <c r="H135" s="343"/>
      <c r="I135" s="343"/>
      <c r="J135" s="343"/>
      <c r="K135" s="343"/>
      <c r="L135" s="343"/>
      <c r="M135" s="344"/>
      <c r="N135" s="345"/>
      <c r="O135" s="345"/>
      <c r="P135" s="345"/>
      <c r="Q135" s="345"/>
    </row>
    <row r="136" spans="1:17" ht="11.25">
      <c r="A136" s="490"/>
      <c r="B136" s="125" t="s">
        <v>196</v>
      </c>
      <c r="C136" s="506"/>
      <c r="D136" s="507"/>
      <c r="E136" s="337">
        <f>SUM(F136,G136)</f>
        <v>0</v>
      </c>
      <c r="F136" s="337">
        <v>0</v>
      </c>
      <c r="G136" s="339">
        <v>0</v>
      </c>
      <c r="H136" s="346"/>
      <c r="I136" s="346"/>
      <c r="J136" s="346"/>
      <c r="K136" s="346"/>
      <c r="L136" s="346"/>
      <c r="M136" s="347"/>
      <c r="N136" s="348"/>
      <c r="O136" s="348"/>
      <c r="P136" s="348"/>
      <c r="Q136" s="348"/>
    </row>
    <row r="137" spans="1:17" ht="12.75">
      <c r="A137" s="508" t="s">
        <v>204</v>
      </c>
      <c r="B137" s="127" t="s">
        <v>155</v>
      </c>
      <c r="C137" s="491" t="s">
        <v>211</v>
      </c>
      <c r="D137" s="492"/>
      <c r="E137" s="492"/>
      <c r="F137" s="492"/>
      <c r="G137" s="492"/>
      <c r="H137" s="492"/>
      <c r="I137" s="492"/>
      <c r="J137" s="492"/>
      <c r="K137" s="492"/>
      <c r="L137" s="492"/>
      <c r="M137" s="492"/>
      <c r="N137" s="492"/>
      <c r="O137" s="492"/>
      <c r="P137" s="492"/>
      <c r="Q137" s="492"/>
    </row>
    <row r="138" spans="1:17" ht="12.75">
      <c r="A138" s="489"/>
      <c r="B138" s="127" t="s">
        <v>156</v>
      </c>
      <c r="C138" s="493" t="s">
        <v>283</v>
      </c>
      <c r="D138" s="494"/>
      <c r="E138" s="494"/>
      <c r="F138" s="494"/>
      <c r="G138" s="494"/>
      <c r="H138" s="494"/>
      <c r="I138" s="494"/>
      <c r="J138" s="494"/>
      <c r="K138" s="494"/>
      <c r="L138" s="494"/>
      <c r="M138" s="494"/>
      <c r="N138" s="494"/>
      <c r="O138" s="494"/>
      <c r="P138" s="494"/>
      <c r="Q138" s="495"/>
    </row>
    <row r="139" spans="1:17" ht="12.75">
      <c r="A139" s="489"/>
      <c r="B139" s="127" t="s">
        <v>157</v>
      </c>
      <c r="C139" s="493" t="s">
        <v>106</v>
      </c>
      <c r="D139" s="494"/>
      <c r="E139" s="494"/>
      <c r="F139" s="494"/>
      <c r="G139" s="494"/>
      <c r="H139" s="494"/>
      <c r="I139" s="494"/>
      <c r="J139" s="494"/>
      <c r="K139" s="494"/>
      <c r="L139" s="494"/>
      <c r="M139" s="494"/>
      <c r="N139" s="494"/>
      <c r="O139" s="494"/>
      <c r="P139" s="494"/>
      <c r="Q139" s="495"/>
    </row>
    <row r="140" spans="1:17" ht="12.75">
      <c r="A140" s="489"/>
      <c r="B140" s="127" t="s">
        <v>158</v>
      </c>
      <c r="C140" s="496" t="s">
        <v>107</v>
      </c>
      <c r="D140" s="497"/>
      <c r="E140" s="497"/>
      <c r="F140" s="497"/>
      <c r="G140" s="497"/>
      <c r="H140" s="497"/>
      <c r="I140" s="497"/>
      <c r="J140" s="497"/>
      <c r="K140" s="497"/>
      <c r="L140" s="497"/>
      <c r="M140" s="497"/>
      <c r="N140" s="497"/>
      <c r="O140" s="497"/>
      <c r="P140" s="497"/>
      <c r="Q140" s="498"/>
    </row>
    <row r="141" spans="1:17" ht="11.25">
      <c r="A141" s="489"/>
      <c r="B141" s="127" t="s">
        <v>159</v>
      </c>
      <c r="C141" s="351"/>
      <c r="D141" s="350"/>
      <c r="E141" s="337">
        <f>SUM(E142:E145)</f>
        <v>308718</v>
      </c>
      <c r="F141" s="337">
        <f>SUM(F142:F145)</f>
        <v>46308</v>
      </c>
      <c r="G141" s="337">
        <f>SUM(G142:G144)</f>
        <v>262410</v>
      </c>
      <c r="H141" s="337">
        <f>SUM(I141,M141)</f>
        <v>308718</v>
      </c>
      <c r="I141" s="337">
        <f>J141+K141+L141</f>
        <v>46308</v>
      </c>
      <c r="J141" s="337">
        <v>0</v>
      </c>
      <c r="K141" s="337">
        <v>0</v>
      </c>
      <c r="L141" s="337">
        <v>46308</v>
      </c>
      <c r="M141" s="337">
        <f>N141+O141+P141+Q141</f>
        <v>262410</v>
      </c>
      <c r="N141" s="337">
        <v>0</v>
      </c>
      <c r="O141" s="337"/>
      <c r="P141" s="337">
        <v>0</v>
      </c>
      <c r="Q141" s="337">
        <v>262410</v>
      </c>
    </row>
    <row r="142" spans="1:17" ht="11.25">
      <c r="A142" s="489"/>
      <c r="B142" s="125" t="s">
        <v>298</v>
      </c>
      <c r="C142" s="502">
        <v>73</v>
      </c>
      <c r="D142" s="504" t="s">
        <v>286</v>
      </c>
      <c r="E142" s="337">
        <f>SUM(F142:G142)</f>
        <v>308718</v>
      </c>
      <c r="F142" s="337">
        <f>SUM(I141)</f>
        <v>46308</v>
      </c>
      <c r="G142" s="339">
        <f>SUM(M141)</f>
        <v>262410</v>
      </c>
      <c r="H142" s="340"/>
      <c r="I142" s="340"/>
      <c r="J142" s="340"/>
      <c r="K142" s="340"/>
      <c r="L142" s="340"/>
      <c r="M142" s="341"/>
      <c r="N142" s="342"/>
      <c r="O142" s="342"/>
      <c r="P142" s="345"/>
      <c r="Q142" s="345"/>
    </row>
    <row r="143" spans="1:17" ht="11.25">
      <c r="A143" s="489"/>
      <c r="B143" s="125" t="s">
        <v>326</v>
      </c>
      <c r="C143" s="503"/>
      <c r="D143" s="505"/>
      <c r="E143" s="337">
        <f>SUM(F143,G143)</f>
        <v>0</v>
      </c>
      <c r="F143" s="337">
        <v>0</v>
      </c>
      <c r="G143" s="339">
        <v>0</v>
      </c>
      <c r="H143" s="343"/>
      <c r="I143" s="343"/>
      <c r="J143" s="343"/>
      <c r="K143" s="343"/>
      <c r="L143" s="343"/>
      <c r="M143" s="344"/>
      <c r="N143" s="345"/>
      <c r="O143" s="345"/>
      <c r="P143" s="345"/>
      <c r="Q143" s="345"/>
    </row>
    <row r="144" spans="1:17" ht="11.25">
      <c r="A144" s="489"/>
      <c r="B144" s="125" t="s">
        <v>194</v>
      </c>
      <c r="C144" s="503"/>
      <c r="D144" s="505"/>
      <c r="E144" s="337">
        <f>SUM(F144,G144)</f>
        <v>0</v>
      </c>
      <c r="F144" s="337">
        <v>0</v>
      </c>
      <c r="G144" s="339">
        <v>0</v>
      </c>
      <c r="H144" s="343"/>
      <c r="I144" s="343"/>
      <c r="J144" s="343"/>
      <c r="K144" s="343"/>
      <c r="L144" s="343"/>
      <c r="M144" s="344"/>
      <c r="N144" s="345"/>
      <c r="O144" s="345"/>
      <c r="P144" s="345"/>
      <c r="Q144" s="345"/>
    </row>
    <row r="145" spans="1:17" ht="11.25">
      <c r="A145" s="489"/>
      <c r="B145" s="125" t="s">
        <v>195</v>
      </c>
      <c r="C145" s="503"/>
      <c r="D145" s="505"/>
      <c r="E145" s="337">
        <f>SUM(F145,G145)</f>
        <v>0</v>
      </c>
      <c r="F145" s="337">
        <v>0</v>
      </c>
      <c r="G145" s="339">
        <v>0</v>
      </c>
      <c r="H145" s="343"/>
      <c r="I145" s="343"/>
      <c r="J145" s="343"/>
      <c r="K145" s="343"/>
      <c r="L145" s="343"/>
      <c r="M145" s="344"/>
      <c r="N145" s="345"/>
      <c r="O145" s="345"/>
      <c r="P145" s="345"/>
      <c r="Q145" s="345"/>
    </row>
    <row r="146" spans="1:17" ht="11.25">
      <c r="A146" s="490"/>
      <c r="B146" s="125" t="s">
        <v>196</v>
      </c>
      <c r="C146" s="506"/>
      <c r="D146" s="507"/>
      <c r="E146" s="337">
        <f>SUM(F146,G146)</f>
        <v>0</v>
      </c>
      <c r="F146" s="337">
        <v>0</v>
      </c>
      <c r="G146" s="339">
        <v>0</v>
      </c>
      <c r="H146" s="346"/>
      <c r="I146" s="346"/>
      <c r="J146" s="346"/>
      <c r="K146" s="346"/>
      <c r="L146" s="346"/>
      <c r="M146" s="347"/>
      <c r="N146" s="348"/>
      <c r="O146" s="348"/>
      <c r="P146" s="348"/>
      <c r="Q146" s="348"/>
    </row>
    <row r="147" spans="1:17" ht="12.75">
      <c r="A147" s="508" t="s">
        <v>205</v>
      </c>
      <c r="B147" s="127" t="s">
        <v>155</v>
      </c>
      <c r="C147" s="491" t="s">
        <v>110</v>
      </c>
      <c r="D147" s="492"/>
      <c r="E147" s="492"/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  <c r="Q147" s="492"/>
    </row>
    <row r="148" spans="1:17" ht="12.75">
      <c r="A148" s="489"/>
      <c r="B148" s="127" t="s">
        <v>156</v>
      </c>
      <c r="C148" s="493" t="s">
        <v>283</v>
      </c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5"/>
    </row>
    <row r="149" spans="1:17" ht="12.75">
      <c r="A149" s="489"/>
      <c r="B149" s="127" t="s">
        <v>157</v>
      </c>
      <c r="C149" s="493" t="s">
        <v>106</v>
      </c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5"/>
    </row>
    <row r="150" spans="1:17" ht="12.75">
      <c r="A150" s="489"/>
      <c r="B150" s="127" t="s">
        <v>158</v>
      </c>
      <c r="C150" s="496" t="s">
        <v>111</v>
      </c>
      <c r="D150" s="497"/>
      <c r="E150" s="497"/>
      <c r="F150" s="497"/>
      <c r="G150" s="497"/>
      <c r="H150" s="497"/>
      <c r="I150" s="497"/>
      <c r="J150" s="497"/>
      <c r="K150" s="497"/>
      <c r="L150" s="497"/>
      <c r="M150" s="497"/>
      <c r="N150" s="497"/>
      <c r="O150" s="497"/>
      <c r="P150" s="497"/>
      <c r="Q150" s="498"/>
    </row>
    <row r="151" spans="1:17" ht="11.25">
      <c r="A151" s="489"/>
      <c r="B151" s="127" t="s">
        <v>159</v>
      </c>
      <c r="C151" s="351"/>
      <c r="D151" s="350"/>
      <c r="E151" s="337">
        <f>SUM(E152:E155)</f>
        <v>299978</v>
      </c>
      <c r="F151" s="337">
        <f>SUM(F152:F155)</f>
        <v>44995</v>
      </c>
      <c r="G151" s="337">
        <f>SUM(G152:G154)</f>
        <v>254983</v>
      </c>
      <c r="H151" s="337">
        <f>SUM(I151,M151)</f>
        <v>211018</v>
      </c>
      <c r="I151" s="337">
        <f>J151+K151+L151</f>
        <v>31652</v>
      </c>
      <c r="J151" s="337">
        <v>0</v>
      </c>
      <c r="K151" s="337">
        <v>0</v>
      </c>
      <c r="L151" s="337">
        <v>31652</v>
      </c>
      <c r="M151" s="337">
        <f>N151+O151+P151+Q151</f>
        <v>179366</v>
      </c>
      <c r="N151" s="337">
        <v>0</v>
      </c>
      <c r="O151" s="337"/>
      <c r="P151" s="337">
        <v>0</v>
      </c>
      <c r="Q151" s="337">
        <v>179366</v>
      </c>
    </row>
    <row r="152" spans="1:17" ht="11.25">
      <c r="A152" s="489"/>
      <c r="B152" s="125" t="s">
        <v>298</v>
      </c>
      <c r="C152" s="502">
        <v>73</v>
      </c>
      <c r="D152" s="504" t="s">
        <v>286</v>
      </c>
      <c r="E152" s="337">
        <f>SUM(F152:G152)</f>
        <v>211018</v>
      </c>
      <c r="F152" s="337">
        <f>SUM(I151)</f>
        <v>31652</v>
      </c>
      <c r="G152" s="339">
        <f>SUM(M151)</f>
        <v>179366</v>
      </c>
      <c r="H152" s="340"/>
      <c r="I152" s="340"/>
      <c r="J152" s="340"/>
      <c r="K152" s="340"/>
      <c r="L152" s="340"/>
      <c r="M152" s="341"/>
      <c r="N152" s="342"/>
      <c r="O152" s="342"/>
      <c r="P152" s="345"/>
      <c r="Q152" s="345"/>
    </row>
    <row r="153" spans="1:17" ht="11.25">
      <c r="A153" s="489"/>
      <c r="B153" s="125" t="s">
        <v>326</v>
      </c>
      <c r="C153" s="503"/>
      <c r="D153" s="505"/>
      <c r="E153" s="337">
        <f>SUM(F153,G153)</f>
        <v>88960</v>
      </c>
      <c r="F153" s="337">
        <v>13343</v>
      </c>
      <c r="G153" s="339">
        <v>75617</v>
      </c>
      <c r="H153" s="343"/>
      <c r="I153" s="343"/>
      <c r="J153" s="343"/>
      <c r="K153" s="343"/>
      <c r="L153" s="343"/>
      <c r="M153" s="344"/>
      <c r="N153" s="345"/>
      <c r="O153" s="345"/>
      <c r="P153" s="345"/>
      <c r="Q153" s="345"/>
    </row>
    <row r="154" spans="1:17" ht="11.25">
      <c r="A154" s="489"/>
      <c r="B154" s="125" t="s">
        <v>194</v>
      </c>
      <c r="C154" s="503"/>
      <c r="D154" s="505"/>
      <c r="E154" s="337">
        <f>SUM(F154,G154)</f>
        <v>0</v>
      </c>
      <c r="F154" s="337">
        <v>0</v>
      </c>
      <c r="G154" s="339">
        <v>0</v>
      </c>
      <c r="H154" s="343"/>
      <c r="I154" s="343"/>
      <c r="J154" s="343"/>
      <c r="K154" s="343"/>
      <c r="L154" s="343"/>
      <c r="M154" s="344"/>
      <c r="N154" s="345"/>
      <c r="O154" s="345"/>
      <c r="P154" s="345"/>
      <c r="Q154" s="345"/>
    </row>
    <row r="155" spans="1:17" ht="11.25">
      <c r="A155" s="489"/>
      <c r="B155" s="125" t="s">
        <v>195</v>
      </c>
      <c r="C155" s="503"/>
      <c r="D155" s="505"/>
      <c r="E155" s="337">
        <f>SUM(F155,G155)</f>
        <v>0</v>
      </c>
      <c r="F155" s="337">
        <v>0</v>
      </c>
      <c r="G155" s="339">
        <v>0</v>
      </c>
      <c r="H155" s="343"/>
      <c r="I155" s="343"/>
      <c r="J155" s="343"/>
      <c r="K155" s="343"/>
      <c r="L155" s="343"/>
      <c r="M155" s="344"/>
      <c r="N155" s="345"/>
      <c r="O155" s="345"/>
      <c r="P155" s="345"/>
      <c r="Q155" s="345"/>
    </row>
    <row r="156" spans="1:17" ht="11.25">
      <c r="A156" s="490"/>
      <c r="B156" s="125" t="s">
        <v>196</v>
      </c>
      <c r="C156" s="506"/>
      <c r="D156" s="507"/>
      <c r="E156" s="337">
        <f>SUM(F156,G156)</f>
        <v>0</v>
      </c>
      <c r="F156" s="337">
        <v>0</v>
      </c>
      <c r="G156" s="339">
        <v>0</v>
      </c>
      <c r="H156" s="346"/>
      <c r="I156" s="346"/>
      <c r="J156" s="346"/>
      <c r="K156" s="346"/>
      <c r="L156" s="346"/>
      <c r="M156" s="347"/>
      <c r="N156" s="348"/>
      <c r="O156" s="348"/>
      <c r="P156" s="348"/>
      <c r="Q156" s="348"/>
    </row>
    <row r="157" spans="1:17" ht="12.75">
      <c r="A157" s="508" t="s">
        <v>206</v>
      </c>
      <c r="B157" s="127" t="s">
        <v>155</v>
      </c>
      <c r="C157" s="491" t="s">
        <v>110</v>
      </c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</row>
    <row r="158" spans="1:17" ht="12.75">
      <c r="A158" s="489"/>
      <c r="B158" s="127" t="s">
        <v>156</v>
      </c>
      <c r="C158" s="493" t="s">
        <v>283</v>
      </c>
      <c r="D158" s="494"/>
      <c r="E158" s="494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5"/>
    </row>
    <row r="159" spans="1:17" ht="12.75">
      <c r="A159" s="489"/>
      <c r="B159" s="127" t="s">
        <v>157</v>
      </c>
      <c r="C159" s="493" t="s">
        <v>106</v>
      </c>
      <c r="D159" s="494"/>
      <c r="E159" s="494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5"/>
    </row>
    <row r="160" spans="1:17" ht="12.75">
      <c r="A160" s="489"/>
      <c r="B160" s="127" t="s">
        <v>158</v>
      </c>
      <c r="C160" s="496" t="s">
        <v>112</v>
      </c>
      <c r="D160" s="497"/>
      <c r="E160" s="497"/>
      <c r="F160" s="497"/>
      <c r="G160" s="497"/>
      <c r="H160" s="497"/>
      <c r="I160" s="497"/>
      <c r="J160" s="497"/>
      <c r="K160" s="497"/>
      <c r="L160" s="497"/>
      <c r="M160" s="497"/>
      <c r="N160" s="497"/>
      <c r="O160" s="497"/>
      <c r="P160" s="497"/>
      <c r="Q160" s="498"/>
    </row>
    <row r="161" spans="1:17" ht="11.25">
      <c r="A161" s="489"/>
      <c r="B161" s="127" t="s">
        <v>159</v>
      </c>
      <c r="C161" s="351"/>
      <c r="D161" s="350"/>
      <c r="E161" s="337">
        <f>SUM(E162:E165)</f>
        <v>197491</v>
      </c>
      <c r="F161" s="337">
        <f>SUM(F162:F165)</f>
        <v>29618</v>
      </c>
      <c r="G161" s="337">
        <f>SUM(G162:G164)</f>
        <v>167873</v>
      </c>
      <c r="H161" s="337">
        <f>SUM(I161,M161)</f>
        <v>197491</v>
      </c>
      <c r="I161" s="337">
        <f>J161+K161+L161</f>
        <v>29618</v>
      </c>
      <c r="J161" s="337">
        <v>0</v>
      </c>
      <c r="K161" s="337">
        <v>0</v>
      </c>
      <c r="L161" s="337">
        <v>29618</v>
      </c>
      <c r="M161" s="337">
        <f>N161+O161+P161+Q161</f>
        <v>167873</v>
      </c>
      <c r="N161" s="337">
        <v>0</v>
      </c>
      <c r="O161" s="337"/>
      <c r="P161" s="337">
        <v>0</v>
      </c>
      <c r="Q161" s="337">
        <v>167873</v>
      </c>
    </row>
    <row r="162" spans="1:17" ht="11.25">
      <c r="A162" s="489"/>
      <c r="B162" s="125" t="s">
        <v>298</v>
      </c>
      <c r="C162" s="502">
        <v>71</v>
      </c>
      <c r="D162" s="504" t="s">
        <v>286</v>
      </c>
      <c r="E162" s="337">
        <f>SUM(F162:G162)</f>
        <v>197491</v>
      </c>
      <c r="F162" s="337">
        <f>SUM(I161)</f>
        <v>29618</v>
      </c>
      <c r="G162" s="339">
        <f>SUM(M161)</f>
        <v>167873</v>
      </c>
      <c r="H162" s="340"/>
      <c r="I162" s="340"/>
      <c r="J162" s="340"/>
      <c r="K162" s="340"/>
      <c r="L162" s="340"/>
      <c r="M162" s="341"/>
      <c r="N162" s="342"/>
      <c r="O162" s="342"/>
      <c r="P162" s="345"/>
      <c r="Q162" s="345"/>
    </row>
    <row r="163" spans="1:17" ht="11.25">
      <c r="A163" s="489"/>
      <c r="B163" s="125" t="s">
        <v>326</v>
      </c>
      <c r="C163" s="503"/>
      <c r="D163" s="505"/>
      <c r="E163" s="337">
        <f>SUM(F163,G163)</f>
        <v>0</v>
      </c>
      <c r="F163" s="337">
        <v>0</v>
      </c>
      <c r="G163" s="339">
        <v>0</v>
      </c>
      <c r="H163" s="343"/>
      <c r="I163" s="343"/>
      <c r="J163" s="343"/>
      <c r="K163" s="343"/>
      <c r="L163" s="343"/>
      <c r="M163" s="344"/>
      <c r="N163" s="345"/>
      <c r="O163" s="345"/>
      <c r="P163" s="345"/>
      <c r="Q163" s="345"/>
    </row>
    <row r="164" spans="1:17" ht="11.25">
      <c r="A164" s="489"/>
      <c r="B164" s="125" t="s">
        <v>194</v>
      </c>
      <c r="C164" s="503"/>
      <c r="D164" s="505"/>
      <c r="E164" s="337">
        <f>SUM(F164,G164)</f>
        <v>0</v>
      </c>
      <c r="F164" s="337">
        <v>0</v>
      </c>
      <c r="G164" s="339">
        <v>0</v>
      </c>
      <c r="H164" s="343"/>
      <c r="I164" s="343"/>
      <c r="J164" s="343"/>
      <c r="K164" s="343"/>
      <c r="L164" s="343"/>
      <c r="M164" s="344"/>
      <c r="N164" s="345"/>
      <c r="O164" s="345"/>
      <c r="P164" s="345"/>
      <c r="Q164" s="345"/>
    </row>
    <row r="165" spans="1:17" ht="11.25">
      <c r="A165" s="489"/>
      <c r="B165" s="125" t="s">
        <v>195</v>
      </c>
      <c r="C165" s="503"/>
      <c r="D165" s="505"/>
      <c r="E165" s="337">
        <f>SUM(F165,G165)</f>
        <v>0</v>
      </c>
      <c r="F165" s="337">
        <v>0</v>
      </c>
      <c r="G165" s="339">
        <v>0</v>
      </c>
      <c r="H165" s="343"/>
      <c r="I165" s="343"/>
      <c r="J165" s="343"/>
      <c r="K165" s="343"/>
      <c r="L165" s="343"/>
      <c r="M165" s="344"/>
      <c r="N165" s="345"/>
      <c r="O165" s="345"/>
      <c r="P165" s="345"/>
      <c r="Q165" s="345"/>
    </row>
    <row r="166" spans="1:17" ht="11.25">
      <c r="A166" s="490"/>
      <c r="B166" s="125" t="s">
        <v>196</v>
      </c>
      <c r="C166" s="506"/>
      <c r="D166" s="507"/>
      <c r="E166" s="337">
        <f>SUM(F166,G166)</f>
        <v>0</v>
      </c>
      <c r="F166" s="337">
        <v>0</v>
      </c>
      <c r="G166" s="339">
        <v>0</v>
      </c>
      <c r="H166" s="346"/>
      <c r="I166" s="346"/>
      <c r="J166" s="346"/>
      <c r="K166" s="346"/>
      <c r="L166" s="346"/>
      <c r="M166" s="347"/>
      <c r="N166" s="348"/>
      <c r="O166" s="348"/>
      <c r="P166" s="348"/>
      <c r="Q166" s="348"/>
    </row>
    <row r="167" spans="1:17" ht="11.25">
      <c r="A167" s="511" t="s">
        <v>162</v>
      </c>
      <c r="B167" s="512"/>
      <c r="C167" s="511" t="s">
        <v>153</v>
      </c>
      <c r="D167" s="512"/>
      <c r="E167" s="263">
        <f aca="true" t="shared" si="2" ref="E167:Q167">SUM(E98,E14)</f>
        <v>39386884</v>
      </c>
      <c r="F167" s="263">
        <f t="shared" si="2"/>
        <v>13082873</v>
      </c>
      <c r="G167" s="263">
        <f t="shared" si="2"/>
        <v>26304011</v>
      </c>
      <c r="H167" s="263">
        <f t="shared" si="2"/>
        <v>13829176</v>
      </c>
      <c r="I167" s="263">
        <f t="shared" si="2"/>
        <v>4628650</v>
      </c>
      <c r="J167" s="263">
        <f t="shared" si="2"/>
        <v>0</v>
      </c>
      <c r="K167" s="263">
        <f t="shared" si="2"/>
        <v>0</v>
      </c>
      <c r="L167" s="263">
        <f t="shared" si="2"/>
        <v>4628650</v>
      </c>
      <c r="M167" s="263">
        <f t="shared" si="2"/>
        <v>9200526</v>
      </c>
      <c r="N167" s="263">
        <f t="shared" si="2"/>
        <v>0</v>
      </c>
      <c r="O167" s="263">
        <f t="shared" si="2"/>
        <v>0</v>
      </c>
      <c r="P167" s="263">
        <f t="shared" si="2"/>
        <v>0</v>
      </c>
      <c r="Q167" s="263">
        <f t="shared" si="2"/>
        <v>9200526</v>
      </c>
    </row>
    <row r="168" spans="1:17" ht="11.25">
      <c r="A168" s="513" t="s">
        <v>293</v>
      </c>
      <c r="B168" s="513"/>
      <c r="C168" s="513"/>
      <c r="D168" s="513"/>
      <c r="E168" s="513"/>
      <c r="F168" s="513"/>
      <c r="G168" s="513"/>
      <c r="H168" s="513"/>
      <c r="I168" s="513"/>
      <c r="J168" s="513"/>
      <c r="K168" s="264"/>
      <c r="L168" s="264"/>
      <c r="M168" s="264"/>
      <c r="N168" s="264"/>
      <c r="O168" s="264"/>
      <c r="P168" s="264"/>
      <c r="Q168" s="264"/>
    </row>
    <row r="169" spans="1:17" ht="11.25">
      <c r="A169" s="264" t="s">
        <v>294</v>
      </c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</row>
  </sheetData>
  <mergeCells count="175">
    <mergeCell ref="A137:A146"/>
    <mergeCell ref="A42:A43"/>
    <mergeCell ref="Q20:Q23"/>
    <mergeCell ref="A15:A23"/>
    <mergeCell ref="C15:Q15"/>
    <mergeCell ref="C16:Q16"/>
    <mergeCell ref="C17:Q17"/>
    <mergeCell ref="C18:Q18"/>
    <mergeCell ref="C20:C23"/>
    <mergeCell ref="D20:D23"/>
    <mergeCell ref="A147:A156"/>
    <mergeCell ref="C147:Q147"/>
    <mergeCell ref="C148:Q148"/>
    <mergeCell ref="C149:Q149"/>
    <mergeCell ref="C150:Q150"/>
    <mergeCell ref="C152:C156"/>
    <mergeCell ref="D152:D156"/>
    <mergeCell ref="C138:Q138"/>
    <mergeCell ref="C139:Q139"/>
    <mergeCell ref="C140:Q140"/>
    <mergeCell ref="I20:I23"/>
    <mergeCell ref="J20:J23"/>
    <mergeCell ref="H20:H23"/>
    <mergeCell ref="C45:Q45"/>
    <mergeCell ref="P38:P41"/>
    <mergeCell ref="C36:Q36"/>
    <mergeCell ref="C38:C41"/>
    <mergeCell ref="C142:C146"/>
    <mergeCell ref="D142:D146"/>
    <mergeCell ref="A127:A136"/>
    <mergeCell ref="C127:Q127"/>
    <mergeCell ref="C128:Q128"/>
    <mergeCell ref="C129:Q129"/>
    <mergeCell ref="C130:Q130"/>
    <mergeCell ref="C132:C136"/>
    <mergeCell ref="D132:D136"/>
    <mergeCell ref="C137:Q137"/>
    <mergeCell ref="A33:A41"/>
    <mergeCell ref="C42:Q42"/>
    <mergeCell ref="C43:Q43"/>
    <mergeCell ref="C44:Q44"/>
    <mergeCell ref="K38:K41"/>
    <mergeCell ref="Q38:Q41"/>
    <mergeCell ref="L38:L41"/>
    <mergeCell ref="M38:M41"/>
    <mergeCell ref="C34:Q34"/>
    <mergeCell ref="O38:O41"/>
    <mergeCell ref="D38:D41"/>
    <mergeCell ref="H38:H41"/>
    <mergeCell ref="I38:I41"/>
    <mergeCell ref="J38:J41"/>
    <mergeCell ref="N38:N41"/>
    <mergeCell ref="A24:A32"/>
    <mergeCell ref="C29:C32"/>
    <mergeCell ref="D29:D32"/>
    <mergeCell ref="H29:H32"/>
    <mergeCell ref="C27:Q27"/>
    <mergeCell ref="I29:I32"/>
    <mergeCell ref="J29:J32"/>
    <mergeCell ref="K29:K32"/>
    <mergeCell ref="L29:L32"/>
    <mergeCell ref="C14:D14"/>
    <mergeCell ref="C24:Q24"/>
    <mergeCell ref="C25:Q25"/>
    <mergeCell ref="C26:Q26"/>
    <mergeCell ref="K20:K23"/>
    <mergeCell ref="L20:L23"/>
    <mergeCell ref="M20:M23"/>
    <mergeCell ref="N20:N23"/>
    <mergeCell ref="O20:O23"/>
    <mergeCell ref="P20:P23"/>
    <mergeCell ref="C33:Q33"/>
    <mergeCell ref="N29:N32"/>
    <mergeCell ref="O29:O32"/>
    <mergeCell ref="P29:P32"/>
    <mergeCell ref="Q29:Q32"/>
    <mergeCell ref="M29:M32"/>
    <mergeCell ref="C35:Q35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47:H49"/>
    <mergeCell ref="I47:I49"/>
    <mergeCell ref="J47:J49"/>
    <mergeCell ref="K47:K49"/>
    <mergeCell ref="L47:L49"/>
    <mergeCell ref="M47:M49"/>
    <mergeCell ref="N47:N49"/>
    <mergeCell ref="O47:O49"/>
    <mergeCell ref="C79:Q79"/>
    <mergeCell ref="C80:Q80"/>
    <mergeCell ref="C52:Q52"/>
    <mergeCell ref="C53:Q53"/>
    <mergeCell ref="C54:Q54"/>
    <mergeCell ref="C55:C60"/>
    <mergeCell ref="D55:D60"/>
    <mergeCell ref="A61:A69"/>
    <mergeCell ref="C61:Q61"/>
    <mergeCell ref="C62:Q62"/>
    <mergeCell ref="C63:Q63"/>
    <mergeCell ref="C64:Q64"/>
    <mergeCell ref="C65:C69"/>
    <mergeCell ref="D65:D69"/>
    <mergeCell ref="C81:Q81"/>
    <mergeCell ref="C82:Q82"/>
    <mergeCell ref="A88:A97"/>
    <mergeCell ref="C88:Q88"/>
    <mergeCell ref="C89:Q89"/>
    <mergeCell ref="C90:Q90"/>
    <mergeCell ref="C91:Q91"/>
    <mergeCell ref="C93:C97"/>
    <mergeCell ref="D93:D97"/>
    <mergeCell ref="A79:A87"/>
    <mergeCell ref="C102:Q102"/>
    <mergeCell ref="D105:D107"/>
    <mergeCell ref="C84:C87"/>
    <mergeCell ref="D84:D87"/>
    <mergeCell ref="C98:D98"/>
    <mergeCell ref="C99:Q99"/>
    <mergeCell ref="C100:Q100"/>
    <mergeCell ref="C101:Q101"/>
    <mergeCell ref="A168:J168"/>
    <mergeCell ref="A157:A166"/>
    <mergeCell ref="C157:Q157"/>
    <mergeCell ref="C158:Q158"/>
    <mergeCell ref="C159:Q159"/>
    <mergeCell ref="C160:Q160"/>
    <mergeCell ref="C162:C166"/>
    <mergeCell ref="D162:D166"/>
    <mergeCell ref="C51:Q51"/>
    <mergeCell ref="A167:B167"/>
    <mergeCell ref="C167:D167"/>
    <mergeCell ref="A118:A126"/>
    <mergeCell ref="C118:Q118"/>
    <mergeCell ref="C119:Q119"/>
    <mergeCell ref="C120:Q120"/>
    <mergeCell ref="C121:Q121"/>
    <mergeCell ref="C123:C126"/>
    <mergeCell ref="D123:D126"/>
    <mergeCell ref="A108:A117"/>
    <mergeCell ref="C75:C78"/>
    <mergeCell ref="D75:D78"/>
    <mergeCell ref="C113:C117"/>
    <mergeCell ref="D113:D117"/>
    <mergeCell ref="C108:Q108"/>
    <mergeCell ref="C109:Q109"/>
    <mergeCell ref="C110:Q110"/>
    <mergeCell ref="C111:Q111"/>
    <mergeCell ref="A70:A78"/>
    <mergeCell ref="C47:C50"/>
    <mergeCell ref="D47:D50"/>
    <mergeCell ref="A105:A107"/>
    <mergeCell ref="C70:Q70"/>
    <mergeCell ref="C71:Q71"/>
    <mergeCell ref="C72:Q72"/>
    <mergeCell ref="C73:Q73"/>
    <mergeCell ref="P47:P49"/>
    <mergeCell ref="Q47:Q49"/>
    <mergeCell ref="A51:A60"/>
  </mergeCells>
  <printOptions/>
  <pageMargins left="0.17" right="0.25" top="0.84" bottom="0.5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M73"/>
  <sheetViews>
    <sheetView workbookViewId="0" topLeftCell="A1">
      <selection activeCell="F17" sqref="F17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41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68"/>
      <c r="F1" s="68"/>
      <c r="M1" s="69" t="s">
        <v>201</v>
      </c>
    </row>
    <row r="2" spans="5:13" ht="13.5" customHeight="1">
      <c r="E2" s="70"/>
      <c r="F2" s="70"/>
      <c r="M2" s="33" t="s">
        <v>219</v>
      </c>
    </row>
    <row r="3" spans="5:13" ht="15.75" customHeight="1">
      <c r="E3" s="70"/>
      <c r="F3" s="70"/>
      <c r="M3" s="33" t="s">
        <v>315</v>
      </c>
    </row>
    <row r="4" ht="3" customHeight="1"/>
    <row r="5" spans="1:12" s="71" customFormat="1" ht="16.5">
      <c r="A5" s="568" t="s">
        <v>174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</row>
    <row r="6" spans="1:12" s="71" customFormat="1" ht="15" customHeight="1">
      <c r="A6" s="568" t="s">
        <v>222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</row>
    <row r="7" ht="5.25" customHeight="1"/>
    <row r="8" spans="1:13" s="66" customFormat="1" ht="11.25" customHeight="1">
      <c r="A8" s="567" t="s">
        <v>114</v>
      </c>
      <c r="B8" s="567"/>
      <c r="C8" s="567"/>
      <c r="D8" s="573" t="s">
        <v>314</v>
      </c>
      <c r="E8" s="574"/>
      <c r="F8" s="534" t="s">
        <v>171</v>
      </c>
      <c r="G8" s="534" t="s">
        <v>303</v>
      </c>
      <c r="H8" s="539" t="s">
        <v>139</v>
      </c>
      <c r="I8" s="540"/>
      <c r="J8" s="540"/>
      <c r="K8" s="540"/>
      <c r="L8" s="540"/>
      <c r="M8" s="541"/>
    </row>
    <row r="9" spans="1:13" s="66" customFormat="1" ht="11.25" customHeight="1">
      <c r="A9" s="565" t="s">
        <v>37</v>
      </c>
      <c r="B9" s="565" t="s">
        <v>38</v>
      </c>
      <c r="C9" s="565" t="s">
        <v>103</v>
      </c>
      <c r="D9" s="575"/>
      <c r="E9" s="576"/>
      <c r="F9" s="535"/>
      <c r="G9" s="535"/>
      <c r="H9" s="480" t="s">
        <v>313</v>
      </c>
      <c r="I9" s="480" t="s">
        <v>142</v>
      </c>
      <c r="J9" s="480"/>
      <c r="K9" s="480"/>
      <c r="L9" s="480" t="s">
        <v>28</v>
      </c>
      <c r="M9" s="65" t="s">
        <v>180</v>
      </c>
    </row>
    <row r="10" spans="1:13" s="66" customFormat="1" ht="24.75" customHeight="1">
      <c r="A10" s="566"/>
      <c r="B10" s="566"/>
      <c r="C10" s="566"/>
      <c r="D10" s="577"/>
      <c r="E10" s="578"/>
      <c r="F10" s="536"/>
      <c r="G10" s="536"/>
      <c r="H10" s="480"/>
      <c r="I10" s="64" t="s">
        <v>173</v>
      </c>
      <c r="J10" s="64" t="s">
        <v>172</v>
      </c>
      <c r="K10" s="64" t="s">
        <v>302</v>
      </c>
      <c r="L10" s="480"/>
      <c r="M10" s="383" t="s">
        <v>302</v>
      </c>
    </row>
    <row r="11" spans="1:13" s="66" customFormat="1" ht="14.25" customHeight="1">
      <c r="A11" s="65">
        <v>1</v>
      </c>
      <c r="B11" s="65">
        <v>2</v>
      </c>
      <c r="C11" s="65">
        <v>3</v>
      </c>
      <c r="D11" s="567">
        <v>4</v>
      </c>
      <c r="E11" s="570"/>
      <c r="F11" s="67">
        <v>5</v>
      </c>
      <c r="G11" s="67">
        <v>6</v>
      </c>
      <c r="H11" s="67">
        <v>7</v>
      </c>
      <c r="I11" s="67">
        <v>8</v>
      </c>
      <c r="J11" s="67">
        <v>9</v>
      </c>
      <c r="K11" s="67">
        <v>10</v>
      </c>
      <c r="L11" s="67">
        <v>11</v>
      </c>
      <c r="M11" s="67">
        <v>12</v>
      </c>
    </row>
    <row r="12" spans="1:13" s="38" customFormat="1" ht="21" customHeight="1">
      <c r="A12" s="558">
        <v>600</v>
      </c>
      <c r="B12" s="558">
        <v>60014</v>
      </c>
      <c r="C12" s="481">
        <v>2310</v>
      </c>
      <c r="D12" s="554" t="s">
        <v>304</v>
      </c>
      <c r="E12" s="561"/>
      <c r="F12" s="288" t="s">
        <v>99</v>
      </c>
      <c r="G12" s="289">
        <v>149000</v>
      </c>
      <c r="H12" s="72">
        <v>149000</v>
      </c>
      <c r="I12" s="73">
        <v>0</v>
      </c>
      <c r="J12" s="74">
        <v>0</v>
      </c>
      <c r="K12" s="74">
        <v>149000</v>
      </c>
      <c r="L12" s="74">
        <v>0</v>
      </c>
      <c r="M12" s="394">
        <v>0</v>
      </c>
    </row>
    <row r="13" spans="1:13" s="38" customFormat="1" ht="12.75" customHeight="1">
      <c r="A13" s="559"/>
      <c r="B13" s="559"/>
      <c r="C13" s="569"/>
      <c r="D13" s="571" t="s">
        <v>307</v>
      </c>
      <c r="E13" s="572"/>
      <c r="F13" s="290"/>
      <c r="G13" s="290"/>
      <c r="H13" s="114"/>
      <c r="I13" s="115"/>
      <c r="J13" s="116"/>
      <c r="K13" s="116"/>
      <c r="L13" s="116"/>
      <c r="M13" s="395"/>
    </row>
    <row r="14" spans="1:13" s="38" customFormat="1" ht="12.75" customHeight="1">
      <c r="A14" s="559"/>
      <c r="B14" s="559"/>
      <c r="C14" s="569"/>
      <c r="D14" s="571" t="s">
        <v>179</v>
      </c>
      <c r="E14" s="572"/>
      <c r="F14" s="290"/>
      <c r="G14" s="290"/>
      <c r="H14" s="114"/>
      <c r="I14" s="115"/>
      <c r="J14" s="116"/>
      <c r="K14" s="116"/>
      <c r="L14" s="116"/>
      <c r="M14" s="395"/>
    </row>
    <row r="15" spans="1:13" s="38" customFormat="1" ht="12.75" customHeight="1">
      <c r="A15" s="559"/>
      <c r="B15" s="559"/>
      <c r="C15" s="569"/>
      <c r="D15" s="571" t="s">
        <v>306</v>
      </c>
      <c r="E15" s="572"/>
      <c r="F15" s="290"/>
      <c r="G15" s="290"/>
      <c r="H15" s="114"/>
      <c r="I15" s="115"/>
      <c r="J15" s="116"/>
      <c r="K15" s="116"/>
      <c r="L15" s="116"/>
      <c r="M15" s="395"/>
    </row>
    <row r="16" spans="1:13" s="38" customFormat="1" ht="12.75" customHeight="1">
      <c r="A16" s="559"/>
      <c r="B16" s="559"/>
      <c r="C16" s="569"/>
      <c r="D16" s="571" t="s">
        <v>305</v>
      </c>
      <c r="E16" s="572"/>
      <c r="F16" s="290"/>
      <c r="G16" s="290"/>
      <c r="H16" s="114"/>
      <c r="I16" s="115"/>
      <c r="J16" s="116"/>
      <c r="K16" s="116"/>
      <c r="L16" s="116"/>
      <c r="M16" s="395"/>
    </row>
    <row r="17" spans="1:13" s="38" customFormat="1" ht="10.5" customHeight="1">
      <c r="A17" s="559"/>
      <c r="B17" s="559"/>
      <c r="C17" s="569"/>
      <c r="D17" s="571" t="s">
        <v>223</v>
      </c>
      <c r="E17" s="572"/>
      <c r="F17" s="291"/>
      <c r="G17" s="291"/>
      <c r="H17" s="117"/>
      <c r="I17" s="118"/>
      <c r="J17" s="119"/>
      <c r="K17" s="119"/>
      <c r="L17" s="119"/>
      <c r="M17" s="396"/>
    </row>
    <row r="18" spans="1:13" s="61" customFormat="1" ht="33" customHeight="1">
      <c r="A18" s="202">
        <v>600</v>
      </c>
      <c r="B18" s="108">
        <v>60014</v>
      </c>
      <c r="C18" s="322">
        <v>2710</v>
      </c>
      <c r="D18" s="550" t="s">
        <v>255</v>
      </c>
      <c r="E18" s="551"/>
      <c r="F18" s="292">
        <f>1028762+13419</f>
        <v>1042181</v>
      </c>
      <c r="G18" s="292" t="s">
        <v>99</v>
      </c>
      <c r="H18" s="292" t="s">
        <v>99</v>
      </c>
      <c r="I18" s="292" t="s">
        <v>99</v>
      </c>
      <c r="J18" s="292" t="s">
        <v>99</v>
      </c>
      <c r="K18" s="292" t="s">
        <v>99</v>
      </c>
      <c r="L18" s="292" t="s">
        <v>99</v>
      </c>
      <c r="M18" s="292" t="s">
        <v>99</v>
      </c>
    </row>
    <row r="19" spans="1:13" s="61" customFormat="1" ht="12.75">
      <c r="A19" s="286"/>
      <c r="B19" s="313"/>
      <c r="C19" s="323"/>
      <c r="D19" s="314" t="s">
        <v>43</v>
      </c>
      <c r="E19" s="319" t="s">
        <v>240</v>
      </c>
      <c r="F19" s="547"/>
      <c r="G19" s="547"/>
      <c r="H19" s="542"/>
      <c r="I19" s="542"/>
      <c r="J19" s="542"/>
      <c r="K19" s="542"/>
      <c r="L19" s="542"/>
      <c r="M19" s="397"/>
    </row>
    <row r="20" spans="1:13" s="61" customFormat="1" ht="12.75">
      <c r="A20" s="286"/>
      <c r="B20" s="313"/>
      <c r="C20" s="323"/>
      <c r="D20" s="314" t="s">
        <v>44</v>
      </c>
      <c r="E20" s="319" t="s">
        <v>257</v>
      </c>
      <c r="F20" s="549"/>
      <c r="G20" s="549"/>
      <c r="H20" s="544"/>
      <c r="I20" s="544"/>
      <c r="J20" s="544"/>
      <c r="K20" s="544"/>
      <c r="L20" s="544"/>
      <c r="M20" s="398"/>
    </row>
    <row r="21" spans="1:13" s="61" customFormat="1" ht="12.75">
      <c r="A21" s="286"/>
      <c r="B21" s="313"/>
      <c r="C21" s="199">
        <v>4270</v>
      </c>
      <c r="D21" s="545" t="s">
        <v>199</v>
      </c>
      <c r="E21" s="546"/>
      <c r="F21" s="292">
        <v>0</v>
      </c>
      <c r="G21" s="292">
        <v>1042181</v>
      </c>
      <c r="H21" s="118">
        <v>1042181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</row>
    <row r="22" spans="1:13" s="61" customFormat="1" ht="57.75" customHeight="1">
      <c r="A22" s="202">
        <v>600</v>
      </c>
      <c r="B22" s="108">
        <v>60014</v>
      </c>
      <c r="C22" s="322">
        <v>6300</v>
      </c>
      <c r="D22" s="550" t="s">
        <v>251</v>
      </c>
      <c r="E22" s="551"/>
      <c r="F22" s="292">
        <v>914500</v>
      </c>
      <c r="G22" s="292" t="s">
        <v>99</v>
      </c>
      <c r="H22" s="292" t="s">
        <v>99</v>
      </c>
      <c r="I22" s="292" t="s">
        <v>99</v>
      </c>
      <c r="J22" s="292" t="s">
        <v>99</v>
      </c>
      <c r="K22" s="292" t="s">
        <v>99</v>
      </c>
      <c r="L22" s="292" t="s">
        <v>99</v>
      </c>
      <c r="M22" s="292" t="s">
        <v>99</v>
      </c>
    </row>
    <row r="23" spans="1:13" s="61" customFormat="1" ht="12" customHeight="1">
      <c r="A23" s="286"/>
      <c r="B23" s="313"/>
      <c r="C23" s="323"/>
      <c r="D23" s="321" t="s">
        <v>43</v>
      </c>
      <c r="E23" s="314" t="s">
        <v>248</v>
      </c>
      <c r="F23" s="547"/>
      <c r="G23" s="547"/>
      <c r="H23" s="542"/>
      <c r="I23" s="542"/>
      <c r="J23" s="542"/>
      <c r="K23" s="542"/>
      <c r="L23" s="542"/>
      <c r="M23" s="397"/>
    </row>
    <row r="24" spans="1:13" s="61" customFormat="1" ht="12.75" customHeight="1">
      <c r="A24" s="286"/>
      <c r="B24" s="313"/>
      <c r="C24" s="323"/>
      <c r="D24" s="321" t="s">
        <v>44</v>
      </c>
      <c r="E24" s="314" t="s">
        <v>249</v>
      </c>
      <c r="F24" s="548"/>
      <c r="G24" s="548"/>
      <c r="H24" s="543"/>
      <c r="I24" s="543"/>
      <c r="J24" s="543"/>
      <c r="K24" s="543"/>
      <c r="L24" s="543"/>
      <c r="M24" s="399"/>
    </row>
    <row r="25" spans="1:13" s="61" customFormat="1" ht="12.75" customHeight="1">
      <c r="A25" s="286"/>
      <c r="B25" s="313"/>
      <c r="C25" s="323"/>
      <c r="D25" s="321" t="s">
        <v>45</v>
      </c>
      <c r="E25" s="314" t="s">
        <v>250</v>
      </c>
      <c r="F25" s="549"/>
      <c r="G25" s="549"/>
      <c r="H25" s="544"/>
      <c r="I25" s="544"/>
      <c r="J25" s="544"/>
      <c r="K25" s="544"/>
      <c r="L25" s="544"/>
      <c r="M25" s="398"/>
    </row>
    <row r="26" spans="1:13" s="61" customFormat="1" ht="21.75" customHeight="1">
      <c r="A26" s="286"/>
      <c r="B26" s="313"/>
      <c r="C26" s="199">
        <v>6050</v>
      </c>
      <c r="D26" s="545" t="s">
        <v>200</v>
      </c>
      <c r="E26" s="546"/>
      <c r="F26" s="292" t="s">
        <v>99</v>
      </c>
      <c r="G26" s="292">
        <v>914500</v>
      </c>
      <c r="H26" s="118">
        <v>0</v>
      </c>
      <c r="I26" s="118">
        <v>0</v>
      </c>
      <c r="J26" s="118">
        <v>0</v>
      </c>
      <c r="K26" s="118">
        <v>0</v>
      </c>
      <c r="L26" s="118">
        <v>914500</v>
      </c>
      <c r="M26" s="120">
        <v>0</v>
      </c>
    </row>
    <row r="27" spans="1:13" s="61" customFormat="1" ht="47.25" customHeight="1">
      <c r="A27" s="384">
        <v>600</v>
      </c>
      <c r="B27" s="113">
        <v>60014</v>
      </c>
      <c r="C27" s="301">
        <v>6309</v>
      </c>
      <c r="D27" s="550" t="s">
        <v>256</v>
      </c>
      <c r="E27" s="551"/>
      <c r="F27" s="190">
        <f>3323208-38029</f>
        <v>3285179</v>
      </c>
      <c r="G27" s="190" t="s">
        <v>99</v>
      </c>
      <c r="H27" s="120" t="s">
        <v>99</v>
      </c>
      <c r="I27" s="120" t="s">
        <v>99</v>
      </c>
      <c r="J27" s="120" t="s">
        <v>99</v>
      </c>
      <c r="K27" s="120" t="s">
        <v>99</v>
      </c>
      <c r="L27" s="120" t="s">
        <v>99</v>
      </c>
      <c r="M27" s="120" t="s">
        <v>99</v>
      </c>
    </row>
    <row r="28" spans="1:13" s="61" customFormat="1" ht="33.75">
      <c r="A28" s="202">
        <v>600</v>
      </c>
      <c r="B28" s="108">
        <v>60014</v>
      </c>
      <c r="C28" s="322">
        <v>6309</v>
      </c>
      <c r="D28" s="314">
        <v>1</v>
      </c>
      <c r="E28" s="385" t="s">
        <v>252</v>
      </c>
      <c r="F28" s="289"/>
      <c r="G28" s="289"/>
      <c r="H28" s="72"/>
      <c r="I28" s="73"/>
      <c r="J28" s="74"/>
      <c r="K28" s="74"/>
      <c r="L28" s="74"/>
      <c r="M28" s="397"/>
    </row>
    <row r="29" spans="1:13" s="61" customFormat="1" ht="45" customHeight="1">
      <c r="A29" s="202"/>
      <c r="B29" s="108"/>
      <c r="C29" s="322"/>
      <c r="D29" s="314">
        <v>2</v>
      </c>
      <c r="E29" s="385" t="s">
        <v>253</v>
      </c>
      <c r="F29" s="293"/>
      <c r="G29" s="293"/>
      <c r="H29" s="114"/>
      <c r="I29" s="115"/>
      <c r="J29" s="116"/>
      <c r="K29" s="116"/>
      <c r="L29" s="116"/>
      <c r="M29" s="399"/>
    </row>
    <row r="30" spans="1:13" s="61" customFormat="1" ht="45">
      <c r="A30" s="286"/>
      <c r="B30" s="313"/>
      <c r="C30" s="323"/>
      <c r="D30" s="314">
        <v>3</v>
      </c>
      <c r="E30" s="385" t="s">
        <v>254</v>
      </c>
      <c r="F30" s="332"/>
      <c r="G30" s="332"/>
      <c r="H30" s="117"/>
      <c r="I30" s="118"/>
      <c r="J30" s="119"/>
      <c r="K30" s="119"/>
      <c r="L30" s="119"/>
      <c r="M30" s="398"/>
    </row>
    <row r="31" spans="1:13" s="61" customFormat="1" ht="24.75" customHeight="1">
      <c r="A31" s="287"/>
      <c r="B31" s="109"/>
      <c r="C31" s="199">
        <v>6059</v>
      </c>
      <c r="D31" s="545" t="s">
        <v>200</v>
      </c>
      <c r="E31" s="546"/>
      <c r="F31" s="292" t="s">
        <v>99</v>
      </c>
      <c r="G31" s="292">
        <v>3285179</v>
      </c>
      <c r="H31" s="118">
        <v>0</v>
      </c>
      <c r="I31" s="118">
        <v>0</v>
      </c>
      <c r="J31" s="118">
        <v>0</v>
      </c>
      <c r="K31" s="118">
        <v>0</v>
      </c>
      <c r="L31" s="118">
        <v>3285179</v>
      </c>
      <c r="M31" s="118">
        <v>0</v>
      </c>
    </row>
    <row r="32" spans="1:13" s="61" customFormat="1" ht="24" customHeight="1">
      <c r="A32" s="286">
        <v>630</v>
      </c>
      <c r="B32" s="313">
        <v>63003</v>
      </c>
      <c r="C32" s="323">
        <v>6619</v>
      </c>
      <c r="D32" s="564" t="s">
        <v>229</v>
      </c>
      <c r="E32" s="580"/>
      <c r="F32" s="307">
        <v>70000</v>
      </c>
      <c r="G32" s="307" t="s">
        <v>99</v>
      </c>
      <c r="H32" s="307" t="s">
        <v>99</v>
      </c>
      <c r="I32" s="307" t="s">
        <v>99</v>
      </c>
      <c r="J32" s="307" t="s">
        <v>99</v>
      </c>
      <c r="K32" s="307" t="s">
        <v>99</v>
      </c>
      <c r="L32" s="307" t="s">
        <v>99</v>
      </c>
      <c r="M32" s="190" t="s">
        <v>99</v>
      </c>
    </row>
    <row r="33" spans="1:13" s="61" customFormat="1" ht="12.75" customHeight="1">
      <c r="A33" s="286"/>
      <c r="B33" s="313"/>
      <c r="C33" s="323"/>
      <c r="D33" s="324">
        <v>1</v>
      </c>
      <c r="E33" s="195" t="s">
        <v>230</v>
      </c>
      <c r="F33" s="289"/>
      <c r="G33" s="289"/>
      <c r="H33" s="72"/>
      <c r="I33" s="73"/>
      <c r="J33" s="74"/>
      <c r="K33" s="74"/>
      <c r="L33" s="74"/>
      <c r="M33" s="397"/>
    </row>
    <row r="34" spans="1:13" s="61" customFormat="1" ht="12.75" customHeight="1">
      <c r="A34" s="286"/>
      <c r="B34" s="313"/>
      <c r="C34" s="323"/>
      <c r="D34" s="324">
        <v>2</v>
      </c>
      <c r="E34" s="195" t="s">
        <v>231</v>
      </c>
      <c r="F34" s="293"/>
      <c r="G34" s="293"/>
      <c r="H34" s="114"/>
      <c r="I34" s="115"/>
      <c r="J34" s="116"/>
      <c r="K34" s="116"/>
      <c r="L34" s="116"/>
      <c r="M34" s="399"/>
    </row>
    <row r="35" spans="1:13" s="61" customFormat="1" ht="12.75" customHeight="1">
      <c r="A35" s="286"/>
      <c r="B35" s="313"/>
      <c r="C35" s="323"/>
      <c r="D35" s="324">
        <v>3</v>
      </c>
      <c r="E35" s="195" t="s">
        <v>232</v>
      </c>
      <c r="F35" s="332"/>
      <c r="G35" s="332"/>
      <c r="H35" s="117"/>
      <c r="I35" s="118"/>
      <c r="J35" s="119"/>
      <c r="K35" s="119"/>
      <c r="L35" s="119"/>
      <c r="M35" s="398"/>
    </row>
    <row r="36" spans="1:13" s="61" customFormat="1" ht="24.75" customHeight="1">
      <c r="A36" s="283">
        <v>630</v>
      </c>
      <c r="B36" s="110">
        <v>63003</v>
      </c>
      <c r="C36" s="326">
        <v>6639</v>
      </c>
      <c r="D36" s="579" t="s">
        <v>239</v>
      </c>
      <c r="E36" s="579"/>
      <c r="F36" s="293" t="s">
        <v>99</v>
      </c>
      <c r="G36" s="293">
        <v>101270</v>
      </c>
      <c r="H36" s="328">
        <v>0</v>
      </c>
      <c r="I36" s="329">
        <v>0</v>
      </c>
      <c r="J36" s="330">
        <v>0</v>
      </c>
      <c r="K36" s="330">
        <v>0</v>
      </c>
      <c r="L36" s="330">
        <v>101270</v>
      </c>
      <c r="M36" s="325">
        <v>101270</v>
      </c>
    </row>
    <row r="37" spans="1:13" s="61" customFormat="1" ht="21.75" customHeight="1">
      <c r="A37" s="335"/>
      <c r="B37" s="124"/>
      <c r="C37" s="336"/>
      <c r="D37" s="327">
        <v>1</v>
      </c>
      <c r="E37" s="320" t="s">
        <v>238</v>
      </c>
      <c r="F37" s="293"/>
      <c r="G37" s="293"/>
      <c r="H37" s="328"/>
      <c r="I37" s="329"/>
      <c r="J37" s="330"/>
      <c r="K37" s="330"/>
      <c r="L37" s="330"/>
      <c r="M37" s="399"/>
    </row>
    <row r="38" spans="1:13" s="61" customFormat="1" ht="53.25" customHeight="1">
      <c r="A38" s="303"/>
      <c r="B38" s="284"/>
      <c r="C38" s="331"/>
      <c r="D38" s="327">
        <v>2</v>
      </c>
      <c r="E38" s="320" t="s">
        <v>241</v>
      </c>
      <c r="F38" s="332"/>
      <c r="G38" s="332"/>
      <c r="H38" s="333"/>
      <c r="I38" s="299"/>
      <c r="J38" s="334"/>
      <c r="K38" s="334"/>
      <c r="L38" s="334"/>
      <c r="M38" s="398"/>
    </row>
    <row r="39" spans="1:13" s="39" customFormat="1" ht="57" customHeight="1">
      <c r="A39" s="109">
        <v>750</v>
      </c>
      <c r="B39" s="109">
        <v>75018</v>
      </c>
      <c r="C39" s="109">
        <v>2330</v>
      </c>
      <c r="D39" s="554" t="s">
        <v>115</v>
      </c>
      <c r="E39" s="554"/>
      <c r="F39" s="294" t="s">
        <v>99</v>
      </c>
      <c r="G39" s="292">
        <v>6000</v>
      </c>
      <c r="H39" s="118">
        <v>6000</v>
      </c>
      <c r="I39" s="118">
        <v>0</v>
      </c>
      <c r="J39" s="118">
        <v>0</v>
      </c>
      <c r="K39" s="118">
        <v>6000</v>
      </c>
      <c r="L39" s="118">
        <v>0</v>
      </c>
      <c r="M39" s="118">
        <v>0</v>
      </c>
    </row>
    <row r="40" spans="1:13" s="419" customFormat="1" ht="33" customHeight="1">
      <c r="A40" s="202">
        <v>750</v>
      </c>
      <c r="B40" s="108">
        <v>75095</v>
      </c>
      <c r="C40" s="322">
        <v>2710</v>
      </c>
      <c r="D40" s="550" t="s">
        <v>188</v>
      </c>
      <c r="E40" s="551"/>
      <c r="F40" s="190">
        <v>8400</v>
      </c>
      <c r="G40" s="190" t="s">
        <v>99</v>
      </c>
      <c r="H40" s="190" t="s">
        <v>99</v>
      </c>
      <c r="I40" s="190" t="s">
        <v>99</v>
      </c>
      <c r="J40" s="190" t="s">
        <v>99</v>
      </c>
      <c r="K40" s="190" t="s">
        <v>99</v>
      </c>
      <c r="L40" s="190" t="s">
        <v>99</v>
      </c>
      <c r="M40" s="190" t="s">
        <v>99</v>
      </c>
    </row>
    <row r="41" spans="1:13" s="419" customFormat="1" ht="12.75">
      <c r="A41" s="287"/>
      <c r="B41" s="109"/>
      <c r="C41" s="423"/>
      <c r="D41" s="420" t="s">
        <v>43</v>
      </c>
      <c r="E41" s="416" t="s">
        <v>190</v>
      </c>
      <c r="F41" s="278"/>
      <c r="G41" s="278"/>
      <c r="H41" s="424"/>
      <c r="I41" s="424"/>
      <c r="J41" s="424"/>
      <c r="K41" s="424"/>
      <c r="L41" s="424"/>
      <c r="M41" s="425"/>
    </row>
    <row r="42" spans="1:13" s="419" customFormat="1" ht="12.75">
      <c r="A42" s="202">
        <v>750</v>
      </c>
      <c r="B42" s="108">
        <v>75095</v>
      </c>
      <c r="C42" s="322">
        <v>2710</v>
      </c>
      <c r="D42" s="420" t="s">
        <v>44</v>
      </c>
      <c r="E42" s="416" t="s">
        <v>191</v>
      </c>
      <c r="F42" s="415"/>
      <c r="G42" s="415"/>
      <c r="H42" s="413"/>
      <c r="I42" s="413"/>
      <c r="J42" s="413"/>
      <c r="K42" s="413"/>
      <c r="L42" s="413"/>
      <c r="M42" s="421"/>
    </row>
    <row r="43" spans="1:13" s="419" customFormat="1" ht="12.75">
      <c r="A43" s="286"/>
      <c r="B43" s="313"/>
      <c r="C43" s="323"/>
      <c r="D43" s="420" t="s">
        <v>45</v>
      </c>
      <c r="E43" s="416" t="s">
        <v>192</v>
      </c>
      <c r="F43" s="294"/>
      <c r="G43" s="294"/>
      <c r="H43" s="414"/>
      <c r="I43" s="414"/>
      <c r="J43" s="414"/>
      <c r="K43" s="414"/>
      <c r="L43" s="414"/>
      <c r="M43" s="422"/>
    </row>
    <row r="44" spans="1:13" s="419" customFormat="1" ht="45.75" customHeight="1">
      <c r="A44" s="287"/>
      <c r="B44" s="109"/>
      <c r="C44" s="199">
        <v>2820</v>
      </c>
      <c r="D44" s="552" t="s">
        <v>189</v>
      </c>
      <c r="E44" s="553"/>
      <c r="F44" s="292">
        <v>0</v>
      </c>
      <c r="G44" s="292">
        <v>8400</v>
      </c>
      <c r="H44" s="118">
        <v>8400</v>
      </c>
      <c r="I44" s="118">
        <v>0</v>
      </c>
      <c r="J44" s="118">
        <v>0</v>
      </c>
      <c r="K44" s="118">
        <v>8400</v>
      </c>
      <c r="L44" s="118">
        <v>0</v>
      </c>
      <c r="M44" s="118">
        <v>0</v>
      </c>
    </row>
    <row r="45" spans="1:13" s="419" customFormat="1" ht="45.75" customHeight="1">
      <c r="A45" s="108">
        <v>754</v>
      </c>
      <c r="B45" s="108">
        <v>75411</v>
      </c>
      <c r="C45" s="108">
        <v>6300</v>
      </c>
      <c r="D45" s="554" t="s">
        <v>54</v>
      </c>
      <c r="E45" s="555"/>
      <c r="F45" s="293">
        <v>50000</v>
      </c>
      <c r="G45" s="293"/>
      <c r="H45" s="114"/>
      <c r="I45" s="115"/>
      <c r="J45" s="116"/>
      <c r="K45" s="116"/>
      <c r="L45" s="116"/>
      <c r="M45" s="115"/>
    </row>
    <row r="46" spans="1:13" s="419" customFormat="1" ht="16.5" customHeight="1">
      <c r="A46" s="109"/>
      <c r="B46" s="109"/>
      <c r="C46" s="109"/>
      <c r="D46" s="196" t="s">
        <v>43</v>
      </c>
      <c r="E46" s="122" t="s">
        <v>55</v>
      </c>
      <c r="F46" s="293"/>
      <c r="G46" s="293"/>
      <c r="H46" s="114"/>
      <c r="I46" s="115"/>
      <c r="J46" s="116"/>
      <c r="K46" s="116"/>
      <c r="L46" s="116"/>
      <c r="M46" s="115"/>
    </row>
    <row r="47" spans="1:13" ht="21.75" customHeight="1">
      <c r="A47" s="113"/>
      <c r="B47" s="113"/>
      <c r="C47" s="113">
        <v>6060</v>
      </c>
      <c r="D47" s="537" t="s">
        <v>186</v>
      </c>
      <c r="E47" s="538"/>
      <c r="F47" s="388"/>
      <c r="G47" s="388">
        <v>50000</v>
      </c>
      <c r="H47" s="386">
        <v>0</v>
      </c>
      <c r="I47" s="120">
        <v>0</v>
      </c>
      <c r="J47" s="387">
        <v>0</v>
      </c>
      <c r="K47" s="120">
        <v>0</v>
      </c>
      <c r="L47" s="387">
        <v>50000</v>
      </c>
      <c r="M47" s="387">
        <v>0</v>
      </c>
    </row>
    <row r="48" spans="1:13" ht="33.75" customHeight="1">
      <c r="A48" s="108">
        <v>852</v>
      </c>
      <c r="B48" s="108">
        <v>85201</v>
      </c>
      <c r="C48" s="108">
        <v>2310</v>
      </c>
      <c r="D48" s="554" t="s">
        <v>308</v>
      </c>
      <c r="E48" s="555"/>
      <c r="F48" s="289">
        <v>31672</v>
      </c>
      <c r="G48" s="289" t="s">
        <v>99</v>
      </c>
      <c r="H48" s="72" t="s">
        <v>99</v>
      </c>
      <c r="I48" s="73" t="s">
        <v>99</v>
      </c>
      <c r="J48" s="74" t="s">
        <v>99</v>
      </c>
      <c r="K48" s="74" t="s">
        <v>99</v>
      </c>
      <c r="L48" s="74" t="s">
        <v>99</v>
      </c>
      <c r="M48" s="73" t="s">
        <v>99</v>
      </c>
    </row>
    <row r="49" spans="1:13" ht="12.75">
      <c r="A49" s="109"/>
      <c r="B49" s="109"/>
      <c r="C49" s="109"/>
      <c r="D49" s="196">
        <v>1</v>
      </c>
      <c r="E49" s="122" t="s">
        <v>237</v>
      </c>
      <c r="F49" s="291"/>
      <c r="G49" s="291"/>
      <c r="H49" s="117"/>
      <c r="I49" s="118"/>
      <c r="J49" s="119"/>
      <c r="K49" s="119"/>
      <c r="L49" s="119"/>
      <c r="M49" s="400"/>
    </row>
    <row r="50" spans="1:13" ht="12.75" customHeight="1">
      <c r="A50" s="113"/>
      <c r="B50" s="113"/>
      <c r="C50" s="113">
        <v>4010</v>
      </c>
      <c r="D50" s="537" t="s">
        <v>202</v>
      </c>
      <c r="E50" s="538"/>
      <c r="F50" s="388" t="s">
        <v>99</v>
      </c>
      <c r="G50" s="388">
        <v>31672</v>
      </c>
      <c r="H50" s="386">
        <v>31672</v>
      </c>
      <c r="I50" s="120">
        <v>31672</v>
      </c>
      <c r="J50" s="387">
        <v>0</v>
      </c>
      <c r="K50" s="120">
        <v>0</v>
      </c>
      <c r="L50" s="387">
        <v>0</v>
      </c>
      <c r="M50" s="387">
        <v>0</v>
      </c>
    </row>
    <row r="51" spans="1:13" ht="34.5" customHeight="1">
      <c r="A51" s="558">
        <v>852</v>
      </c>
      <c r="B51" s="558">
        <v>85201</v>
      </c>
      <c r="C51" s="558">
        <v>2310</v>
      </c>
      <c r="D51" s="563" t="s">
        <v>181</v>
      </c>
      <c r="E51" s="564"/>
      <c r="F51" s="289" t="s">
        <v>99</v>
      </c>
      <c r="G51" s="289">
        <v>9760</v>
      </c>
      <c r="H51" s="72">
        <v>9760</v>
      </c>
      <c r="I51" s="73">
        <v>0</v>
      </c>
      <c r="J51" s="74">
        <v>0</v>
      </c>
      <c r="K51" s="74">
        <v>9760</v>
      </c>
      <c r="L51" s="73">
        <v>0</v>
      </c>
      <c r="M51" s="74">
        <v>0</v>
      </c>
    </row>
    <row r="52" spans="1:13" ht="16.5" customHeight="1">
      <c r="A52" s="560"/>
      <c r="B52" s="560"/>
      <c r="C52" s="560"/>
      <c r="D52" s="197">
        <v>1</v>
      </c>
      <c r="E52" s="198" t="s">
        <v>224</v>
      </c>
      <c r="F52" s="332"/>
      <c r="G52" s="332"/>
      <c r="H52" s="117"/>
      <c r="I52" s="118"/>
      <c r="J52" s="119"/>
      <c r="K52" s="119"/>
      <c r="L52" s="118"/>
      <c r="M52" s="401"/>
    </row>
    <row r="53" spans="1:13" ht="34.5" customHeight="1">
      <c r="A53" s="558">
        <v>852</v>
      </c>
      <c r="B53" s="558">
        <v>85201</v>
      </c>
      <c r="C53" s="558">
        <v>2310</v>
      </c>
      <c r="D53" s="563" t="s">
        <v>182</v>
      </c>
      <c r="E53" s="564"/>
      <c r="F53" s="289" t="s">
        <v>99</v>
      </c>
      <c r="G53" s="289">
        <v>11580</v>
      </c>
      <c r="H53" s="72">
        <v>11580</v>
      </c>
      <c r="I53" s="73">
        <v>0</v>
      </c>
      <c r="J53" s="74">
        <v>0</v>
      </c>
      <c r="K53" s="74">
        <v>11580</v>
      </c>
      <c r="L53" s="73">
        <v>0</v>
      </c>
      <c r="M53" s="74">
        <v>0</v>
      </c>
    </row>
    <row r="54" spans="1:13" ht="13.5" customHeight="1">
      <c r="A54" s="560"/>
      <c r="B54" s="560"/>
      <c r="C54" s="560"/>
      <c r="D54" s="192">
        <v>1</v>
      </c>
      <c r="E54" s="193" t="s">
        <v>271</v>
      </c>
      <c r="F54" s="291"/>
      <c r="G54" s="291"/>
      <c r="H54" s="78"/>
      <c r="I54" s="79"/>
      <c r="J54" s="80"/>
      <c r="K54" s="80"/>
      <c r="L54" s="79"/>
      <c r="M54" s="401"/>
    </row>
    <row r="55" spans="1:13" ht="55.5" customHeight="1">
      <c r="A55" s="113">
        <v>852</v>
      </c>
      <c r="B55" s="113">
        <v>85201</v>
      </c>
      <c r="C55" s="113">
        <v>2320</v>
      </c>
      <c r="D55" s="554" t="s">
        <v>311</v>
      </c>
      <c r="E55" s="562"/>
      <c r="F55" s="294"/>
      <c r="G55" s="292">
        <v>933906</v>
      </c>
      <c r="H55" s="118">
        <v>933906</v>
      </c>
      <c r="I55" s="118">
        <v>0</v>
      </c>
      <c r="J55" s="118">
        <v>0</v>
      </c>
      <c r="K55" s="118">
        <v>933906</v>
      </c>
      <c r="L55" s="118">
        <v>0</v>
      </c>
      <c r="M55" s="118">
        <v>0</v>
      </c>
    </row>
    <row r="56" spans="1:13" ht="35.25" customHeight="1">
      <c r="A56" s="113">
        <v>852</v>
      </c>
      <c r="B56" s="113">
        <v>85204</v>
      </c>
      <c r="C56" s="113">
        <v>2310</v>
      </c>
      <c r="D56" s="554" t="s">
        <v>131</v>
      </c>
      <c r="E56" s="562"/>
      <c r="F56" s="278" t="s">
        <v>99</v>
      </c>
      <c r="G56" s="190">
        <v>10470</v>
      </c>
      <c r="H56" s="120">
        <v>10470</v>
      </c>
      <c r="I56" s="120">
        <v>0</v>
      </c>
      <c r="J56" s="120">
        <v>0</v>
      </c>
      <c r="K56" s="120">
        <v>10470</v>
      </c>
      <c r="L56" s="120">
        <v>0</v>
      </c>
      <c r="M56" s="120">
        <v>0</v>
      </c>
    </row>
    <row r="57" spans="1:13" ht="33" customHeight="1">
      <c r="A57" s="558">
        <v>852</v>
      </c>
      <c r="B57" s="558">
        <v>85204</v>
      </c>
      <c r="C57" s="558">
        <v>2320</v>
      </c>
      <c r="D57" s="563" t="s">
        <v>312</v>
      </c>
      <c r="E57" s="564"/>
      <c r="F57" s="288" t="s">
        <v>99</v>
      </c>
      <c r="G57" s="289">
        <v>73280</v>
      </c>
      <c r="H57" s="72">
        <v>73280</v>
      </c>
      <c r="I57" s="73">
        <v>0</v>
      </c>
      <c r="J57" s="74">
        <v>0</v>
      </c>
      <c r="K57" s="74">
        <v>73280</v>
      </c>
      <c r="L57" s="74">
        <v>0</v>
      </c>
      <c r="M57" s="402">
        <v>0</v>
      </c>
    </row>
    <row r="58" spans="1:13" ht="12" customHeight="1">
      <c r="A58" s="559"/>
      <c r="B58" s="559"/>
      <c r="C58" s="559"/>
      <c r="D58" s="194">
        <v>1</v>
      </c>
      <c r="E58" s="195" t="s">
        <v>225</v>
      </c>
      <c r="F58" s="290"/>
      <c r="G58" s="295"/>
      <c r="H58" s="75"/>
      <c r="I58" s="76"/>
      <c r="J58" s="77"/>
      <c r="K58" s="77"/>
      <c r="L58" s="77"/>
      <c r="M58" s="403"/>
    </row>
    <row r="59" spans="1:13" ht="12" customHeight="1">
      <c r="A59" s="559"/>
      <c r="B59" s="559"/>
      <c r="C59" s="559"/>
      <c r="D59" s="194">
        <v>2</v>
      </c>
      <c r="E59" s="195" t="s">
        <v>228</v>
      </c>
      <c r="F59" s="290"/>
      <c r="G59" s="295"/>
      <c r="H59" s="75"/>
      <c r="I59" s="76"/>
      <c r="J59" s="77"/>
      <c r="K59" s="77"/>
      <c r="L59" s="77"/>
      <c r="M59" s="403"/>
    </row>
    <row r="60" spans="1:13" ht="12" customHeight="1">
      <c r="A60" s="559"/>
      <c r="B60" s="559"/>
      <c r="C60" s="559"/>
      <c r="D60" s="194">
        <v>3</v>
      </c>
      <c r="E60" s="195" t="s">
        <v>227</v>
      </c>
      <c r="F60" s="290"/>
      <c r="G60" s="295"/>
      <c r="H60" s="75"/>
      <c r="I60" s="76"/>
      <c r="J60" s="77"/>
      <c r="K60" s="77"/>
      <c r="L60" s="77"/>
      <c r="M60" s="403"/>
    </row>
    <row r="61" spans="1:13" ht="12" customHeight="1">
      <c r="A61" s="559"/>
      <c r="B61" s="559"/>
      <c r="C61" s="559"/>
      <c r="D61" s="194">
        <v>4</v>
      </c>
      <c r="E61" s="195" t="s">
        <v>183</v>
      </c>
      <c r="F61" s="290"/>
      <c r="G61" s="295"/>
      <c r="H61" s="75"/>
      <c r="I61" s="76"/>
      <c r="J61" s="77"/>
      <c r="K61" s="77"/>
      <c r="L61" s="77"/>
      <c r="M61" s="403"/>
    </row>
    <row r="62" spans="1:13" ht="12" customHeight="1">
      <c r="A62" s="560"/>
      <c r="B62" s="560"/>
      <c r="C62" s="560"/>
      <c r="D62" s="194">
        <v>5</v>
      </c>
      <c r="E62" s="195" t="s">
        <v>226</v>
      </c>
      <c r="F62" s="291"/>
      <c r="G62" s="296"/>
      <c r="H62" s="78"/>
      <c r="I62" s="79"/>
      <c r="J62" s="80"/>
      <c r="K62" s="80"/>
      <c r="L62" s="80"/>
      <c r="M62" s="400"/>
    </row>
    <row r="63" spans="1:13" ht="23.25" customHeight="1">
      <c r="A63" s="558">
        <v>852</v>
      </c>
      <c r="B63" s="558">
        <v>85204</v>
      </c>
      <c r="C63" s="558">
        <v>2310</v>
      </c>
      <c r="D63" s="554" t="s">
        <v>309</v>
      </c>
      <c r="E63" s="561"/>
      <c r="F63" s="289">
        <v>4165</v>
      </c>
      <c r="G63" s="289" t="s">
        <v>99</v>
      </c>
      <c r="H63" s="391" t="s">
        <v>99</v>
      </c>
      <c r="I63" s="392" t="s">
        <v>99</v>
      </c>
      <c r="J63" s="393" t="s">
        <v>99</v>
      </c>
      <c r="K63" s="393" t="s">
        <v>99</v>
      </c>
      <c r="L63" s="393" t="s">
        <v>99</v>
      </c>
      <c r="M63" s="392" t="s">
        <v>99</v>
      </c>
    </row>
    <row r="64" spans="1:13" ht="12.75">
      <c r="A64" s="559"/>
      <c r="B64" s="559"/>
      <c r="C64" s="559"/>
      <c r="D64" s="389">
        <v>1</v>
      </c>
      <c r="E64" s="390" t="s">
        <v>233</v>
      </c>
      <c r="F64" s="290"/>
      <c r="G64" s="290"/>
      <c r="H64" s="114"/>
      <c r="I64" s="115"/>
      <c r="J64" s="116"/>
      <c r="K64" s="116"/>
      <c r="L64" s="116"/>
      <c r="M64" s="400"/>
    </row>
    <row r="65" spans="1:13" ht="12.75">
      <c r="A65" s="109"/>
      <c r="B65" s="109"/>
      <c r="C65" s="113">
        <v>3110</v>
      </c>
      <c r="D65" s="537" t="s">
        <v>203</v>
      </c>
      <c r="E65" s="538"/>
      <c r="F65" s="388" t="s">
        <v>99</v>
      </c>
      <c r="G65" s="388">
        <v>4165</v>
      </c>
      <c r="H65" s="386">
        <v>4165</v>
      </c>
      <c r="I65" s="120">
        <v>0</v>
      </c>
      <c r="J65" s="387">
        <v>0</v>
      </c>
      <c r="K65" s="387">
        <v>0</v>
      </c>
      <c r="L65" s="387">
        <v>0</v>
      </c>
      <c r="M65" s="387">
        <v>0</v>
      </c>
    </row>
    <row r="66" spans="1:13" ht="23.25" customHeight="1">
      <c r="A66" s="558">
        <v>852</v>
      </c>
      <c r="B66" s="558">
        <v>85204</v>
      </c>
      <c r="C66" s="558">
        <v>2320</v>
      </c>
      <c r="D66" s="554" t="s">
        <v>309</v>
      </c>
      <c r="E66" s="561"/>
      <c r="F66" s="289">
        <v>127548</v>
      </c>
      <c r="G66" s="289" t="s">
        <v>99</v>
      </c>
      <c r="H66" s="391" t="s">
        <v>99</v>
      </c>
      <c r="I66" s="392" t="s">
        <v>99</v>
      </c>
      <c r="J66" s="393" t="s">
        <v>99</v>
      </c>
      <c r="K66" s="393" t="s">
        <v>99</v>
      </c>
      <c r="L66" s="393" t="s">
        <v>99</v>
      </c>
      <c r="M66" s="392" t="s">
        <v>99</v>
      </c>
    </row>
    <row r="67" spans="1:13" ht="12" customHeight="1">
      <c r="A67" s="559"/>
      <c r="B67" s="559"/>
      <c r="C67" s="559"/>
      <c r="D67" s="121">
        <v>1</v>
      </c>
      <c r="E67" s="122" t="s">
        <v>310</v>
      </c>
      <c r="F67" s="290"/>
      <c r="G67" s="297"/>
      <c r="H67" s="75"/>
      <c r="I67" s="76"/>
      <c r="J67" s="77"/>
      <c r="K67" s="77"/>
      <c r="L67" s="77"/>
      <c r="M67" s="403"/>
    </row>
    <row r="68" spans="1:13" ht="12" customHeight="1">
      <c r="A68" s="559"/>
      <c r="B68" s="559"/>
      <c r="C68" s="559"/>
      <c r="D68" s="121">
        <v>2</v>
      </c>
      <c r="E68" s="122" t="s">
        <v>234</v>
      </c>
      <c r="F68" s="290"/>
      <c r="G68" s="297"/>
      <c r="H68" s="75"/>
      <c r="I68" s="76"/>
      <c r="J68" s="77"/>
      <c r="K68" s="77"/>
      <c r="L68" s="77"/>
      <c r="M68" s="403"/>
    </row>
    <row r="69" spans="1:13" ht="12" customHeight="1">
      <c r="A69" s="559"/>
      <c r="B69" s="559"/>
      <c r="C69" s="559"/>
      <c r="D69" s="121">
        <v>3</v>
      </c>
      <c r="E69" s="122" t="s">
        <v>236</v>
      </c>
      <c r="F69" s="290"/>
      <c r="G69" s="297"/>
      <c r="H69" s="75"/>
      <c r="I69" s="76"/>
      <c r="J69" s="77"/>
      <c r="K69" s="77"/>
      <c r="L69" s="77"/>
      <c r="M69" s="403"/>
    </row>
    <row r="70" spans="1:13" ht="12" customHeight="1">
      <c r="A70" s="560"/>
      <c r="B70" s="560"/>
      <c r="C70" s="560"/>
      <c r="D70" s="121">
        <v>4</v>
      </c>
      <c r="E70" s="122" t="s">
        <v>235</v>
      </c>
      <c r="F70" s="291"/>
      <c r="G70" s="298"/>
      <c r="H70" s="78"/>
      <c r="I70" s="79"/>
      <c r="J70" s="80"/>
      <c r="K70" s="80"/>
      <c r="L70" s="80"/>
      <c r="M70" s="400"/>
    </row>
    <row r="71" spans="1:13" ht="18" customHeight="1">
      <c r="A71" s="113">
        <v>852</v>
      </c>
      <c r="B71" s="113">
        <v>85204</v>
      </c>
      <c r="C71" s="113">
        <v>3110</v>
      </c>
      <c r="D71" s="537" t="s">
        <v>203</v>
      </c>
      <c r="E71" s="538"/>
      <c r="F71" s="388" t="s">
        <v>99</v>
      </c>
      <c r="G71" s="388">
        <v>127548</v>
      </c>
      <c r="H71" s="386">
        <v>127548</v>
      </c>
      <c r="I71" s="120">
        <v>0</v>
      </c>
      <c r="J71" s="387">
        <v>0</v>
      </c>
      <c r="K71" s="387">
        <v>0</v>
      </c>
      <c r="L71" s="387">
        <v>0</v>
      </c>
      <c r="M71" s="387">
        <v>0</v>
      </c>
    </row>
    <row r="72" spans="1:13" ht="42" customHeight="1">
      <c r="A72" s="109">
        <v>921</v>
      </c>
      <c r="B72" s="109">
        <v>92116</v>
      </c>
      <c r="C72" s="109">
        <v>2310</v>
      </c>
      <c r="D72" s="556" t="s">
        <v>116</v>
      </c>
      <c r="E72" s="556"/>
      <c r="F72" s="299" t="s">
        <v>99</v>
      </c>
      <c r="G72" s="300">
        <v>54000</v>
      </c>
      <c r="H72" s="118">
        <v>54000</v>
      </c>
      <c r="I72" s="118">
        <v>0</v>
      </c>
      <c r="J72" s="118">
        <v>0</v>
      </c>
      <c r="K72" s="118">
        <v>54000</v>
      </c>
      <c r="L72" s="118">
        <v>0</v>
      </c>
      <c r="M72" s="118">
        <v>0</v>
      </c>
    </row>
    <row r="73" spans="1:13" ht="15.75">
      <c r="A73" s="557" t="s">
        <v>98</v>
      </c>
      <c r="B73" s="557"/>
      <c r="C73" s="557"/>
      <c r="D73" s="557"/>
      <c r="E73" s="557"/>
      <c r="F73" s="107">
        <f>SUM(F12:F72)</f>
        <v>5533645</v>
      </c>
      <c r="G73" s="107">
        <f>SUM(G12:G72)</f>
        <v>6812911</v>
      </c>
      <c r="H73" s="107">
        <f aca="true" t="shared" si="0" ref="H73:M73">SUM(H12:H72)</f>
        <v>2461962</v>
      </c>
      <c r="I73" s="107">
        <f t="shared" si="0"/>
        <v>31672</v>
      </c>
      <c r="J73" s="107">
        <f t="shared" si="0"/>
        <v>0</v>
      </c>
      <c r="K73" s="107">
        <f t="shared" si="0"/>
        <v>1256396</v>
      </c>
      <c r="L73" s="107">
        <f t="shared" si="0"/>
        <v>4350949</v>
      </c>
      <c r="M73" s="107">
        <f t="shared" si="0"/>
        <v>101270</v>
      </c>
    </row>
  </sheetData>
  <mergeCells count="78">
    <mergeCell ref="D14:E14"/>
    <mergeCell ref="D63:E63"/>
    <mergeCell ref="D15:E15"/>
    <mergeCell ref="D16:E16"/>
    <mergeCell ref="D17:E17"/>
    <mergeCell ref="D39:E39"/>
    <mergeCell ref="D36:E36"/>
    <mergeCell ref="D32:E32"/>
    <mergeCell ref="D22:E22"/>
    <mergeCell ref="D57:E57"/>
    <mergeCell ref="D13:E13"/>
    <mergeCell ref="D8:E10"/>
    <mergeCell ref="F8:F10"/>
    <mergeCell ref="G8:G10"/>
    <mergeCell ref="B9:B10"/>
    <mergeCell ref="H9:H10"/>
    <mergeCell ref="D11:E11"/>
    <mergeCell ref="D12:E12"/>
    <mergeCell ref="C57:C62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D26:E26"/>
    <mergeCell ref="C9:C10"/>
    <mergeCell ref="A63:A64"/>
    <mergeCell ref="B63:B64"/>
    <mergeCell ref="C63:C64"/>
    <mergeCell ref="A51:A52"/>
    <mergeCell ref="B51:B52"/>
    <mergeCell ref="C51:C52"/>
    <mergeCell ref="A57:A62"/>
    <mergeCell ref="B57:B62"/>
    <mergeCell ref="F19:F20"/>
    <mergeCell ref="D18:E18"/>
    <mergeCell ref="A53:A54"/>
    <mergeCell ref="B53:B54"/>
    <mergeCell ref="C53:C54"/>
    <mergeCell ref="D53:E53"/>
    <mergeCell ref="D51:E51"/>
    <mergeCell ref="D27:E27"/>
    <mergeCell ref="D21:E21"/>
    <mergeCell ref="D48:E48"/>
    <mergeCell ref="D45:E45"/>
    <mergeCell ref="L19:L20"/>
    <mergeCell ref="D72:E72"/>
    <mergeCell ref="A73:E73"/>
    <mergeCell ref="A66:A70"/>
    <mergeCell ref="B66:B70"/>
    <mergeCell ref="C66:C70"/>
    <mergeCell ref="D66:E66"/>
    <mergeCell ref="D55:E55"/>
    <mergeCell ref="D56:E56"/>
    <mergeCell ref="D40:E40"/>
    <mergeCell ref="D44:E44"/>
    <mergeCell ref="D65:E65"/>
    <mergeCell ref="K19:K20"/>
    <mergeCell ref="G19:G20"/>
    <mergeCell ref="H19:H20"/>
    <mergeCell ref="H23:H25"/>
    <mergeCell ref="I23:I25"/>
    <mergeCell ref="I19:I20"/>
    <mergeCell ref="J19:J20"/>
    <mergeCell ref="D47:E47"/>
    <mergeCell ref="D71:E71"/>
    <mergeCell ref="H8:M8"/>
    <mergeCell ref="J23:J25"/>
    <mergeCell ref="K23:K25"/>
    <mergeCell ref="L23:L25"/>
    <mergeCell ref="D31:E31"/>
    <mergeCell ref="F23:F25"/>
    <mergeCell ref="G23:G25"/>
    <mergeCell ref="D50:E50"/>
  </mergeCells>
  <printOptions/>
  <pageMargins left="0.53" right="0.57" top="1.14" bottom="0.67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M25"/>
  <sheetViews>
    <sheetView workbookViewId="0" topLeftCell="A1">
      <selection activeCell="F15" sqref="F15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44" customFormat="1" ht="15.75">
      <c r="B1" s="45"/>
      <c r="C1" s="46"/>
      <c r="D1" s="47"/>
      <c r="E1" s="55"/>
      <c r="F1" s="55"/>
      <c r="G1" s="34" t="s">
        <v>170</v>
      </c>
      <c r="I1" s="47"/>
      <c r="J1" s="55"/>
      <c r="K1" s="55"/>
      <c r="L1" s="55"/>
      <c r="M1" s="34" t="s">
        <v>170</v>
      </c>
    </row>
    <row r="2" spans="2:13" s="44" customFormat="1" ht="15">
      <c r="B2" s="48"/>
      <c r="C2" s="49"/>
      <c r="D2" s="50"/>
      <c r="E2" s="56"/>
      <c r="F2" s="56"/>
      <c r="G2" s="33" t="s">
        <v>219</v>
      </c>
      <c r="I2" s="50"/>
      <c r="J2" s="37"/>
      <c r="K2" s="37"/>
      <c r="L2" s="37"/>
      <c r="M2" s="33" t="s">
        <v>219</v>
      </c>
    </row>
    <row r="3" spans="2:13" s="44" customFormat="1" ht="15">
      <c r="B3" s="48"/>
      <c r="C3" s="51"/>
      <c r="D3" s="50"/>
      <c r="E3" s="56"/>
      <c r="F3" s="56"/>
      <c r="G3" s="33" t="s">
        <v>315</v>
      </c>
      <c r="I3" s="50"/>
      <c r="J3" s="37"/>
      <c r="K3" s="37"/>
      <c r="L3" s="37"/>
      <c r="M3" s="33" t="s">
        <v>315</v>
      </c>
    </row>
    <row r="4" s="52" customFormat="1" ht="12.75">
      <c r="D4" s="51"/>
    </row>
    <row r="5" ht="12.75">
      <c r="D5" s="53"/>
    </row>
    <row r="6" ht="12.75">
      <c r="D6" s="53"/>
    </row>
    <row r="8" spans="2:6" ht="18">
      <c r="B8" s="2"/>
      <c r="C8" s="2"/>
      <c r="D8" s="2"/>
      <c r="E8" s="2"/>
      <c r="F8" s="2"/>
    </row>
    <row r="9" spans="1:3" ht="18">
      <c r="A9" s="16"/>
      <c r="B9" s="16"/>
      <c r="C9" s="16"/>
    </row>
    <row r="10" spans="4:12" s="1" customFormat="1" ht="15.75">
      <c r="D10" s="40"/>
      <c r="E10" s="40"/>
      <c r="F10" s="43"/>
      <c r="G10" s="1" t="s">
        <v>92</v>
      </c>
      <c r="L10" s="1" t="s">
        <v>92</v>
      </c>
    </row>
    <row r="11" spans="1:13" s="103" customFormat="1" ht="35.25" customHeight="1">
      <c r="A11" s="581" t="s">
        <v>95</v>
      </c>
      <c r="B11" s="581" t="s">
        <v>122</v>
      </c>
      <c r="C11" s="581" t="s">
        <v>187</v>
      </c>
      <c r="D11" s="582" t="s">
        <v>123</v>
      </c>
      <c r="E11" s="583"/>
      <c r="F11" s="583"/>
      <c r="G11" s="584"/>
      <c r="H11" s="582" t="s">
        <v>123</v>
      </c>
      <c r="I11" s="583"/>
      <c r="J11" s="583"/>
      <c r="K11" s="583"/>
      <c r="L11" s="583"/>
      <c r="M11" s="584"/>
    </row>
    <row r="12" spans="1:13" s="103" customFormat="1" ht="35.25" customHeight="1">
      <c r="A12" s="581"/>
      <c r="B12" s="581"/>
      <c r="C12" s="581"/>
      <c r="D12" s="266">
        <v>2009</v>
      </c>
      <c r="E12" s="267">
        <v>2010</v>
      </c>
      <c r="F12" s="266">
        <v>2011</v>
      </c>
      <c r="G12" s="266">
        <v>2012</v>
      </c>
      <c r="H12" s="266">
        <v>2013</v>
      </c>
      <c r="I12" s="266">
        <v>2014</v>
      </c>
      <c r="J12" s="266">
        <v>2015</v>
      </c>
      <c r="K12" s="266">
        <v>2016</v>
      </c>
      <c r="L12" s="266">
        <v>2017</v>
      </c>
      <c r="M12" s="372">
        <v>2017</v>
      </c>
    </row>
    <row r="13" spans="1:13" s="103" customFormat="1" ht="11.2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268">
        <v>7</v>
      </c>
      <c r="H13" s="111">
        <v>3</v>
      </c>
      <c r="I13" s="111">
        <v>4</v>
      </c>
      <c r="J13" s="111">
        <v>5</v>
      </c>
      <c r="K13" s="111">
        <v>6</v>
      </c>
      <c r="L13" s="111">
        <v>7</v>
      </c>
      <c r="M13" s="373">
        <v>8</v>
      </c>
    </row>
    <row r="14" spans="1:13" s="90" customFormat="1" ht="28.5" customHeight="1">
      <c r="A14" s="269" t="s">
        <v>43</v>
      </c>
      <c r="B14" s="21" t="s">
        <v>48</v>
      </c>
      <c r="C14" s="274">
        <f>SUM('zał7-syt finans'!C45)</f>
        <v>0</v>
      </c>
      <c r="D14" s="274">
        <f>SUM('zał7-syt finans'!D45)</f>
        <v>0</v>
      </c>
      <c r="E14" s="274">
        <f>SUM('zał7-syt finans'!E45)</f>
        <v>0</v>
      </c>
      <c r="F14" s="274">
        <f>SUM('zał7-syt finans'!F45)</f>
        <v>0</v>
      </c>
      <c r="G14" s="274">
        <f>SUM('zał7-syt finans'!G45)</f>
        <v>0</v>
      </c>
      <c r="H14" s="274">
        <f>SUM('zał7-syt finans'!H45)</f>
        <v>0</v>
      </c>
      <c r="I14" s="274">
        <f>SUM('zał7-syt finans'!I45)</f>
        <v>0</v>
      </c>
      <c r="J14" s="274">
        <f>SUM('zał7-syt finans'!J45)</f>
        <v>0</v>
      </c>
      <c r="K14" s="274">
        <f>SUM('zał7-syt finans'!K45)</f>
        <v>0</v>
      </c>
      <c r="L14" s="274">
        <f>SUM('zał7-syt finans'!L45)</f>
        <v>0</v>
      </c>
      <c r="M14" s="374">
        <f>SUM('zał7-syt finans'!M45)</f>
        <v>0</v>
      </c>
    </row>
    <row r="15" spans="1:13" s="90" customFormat="1" ht="24.75" customHeight="1">
      <c r="A15" s="269" t="s">
        <v>44</v>
      </c>
      <c r="B15" s="21" t="s">
        <v>50</v>
      </c>
      <c r="C15" s="274">
        <f>SUM('zał7-syt finans'!C44)</f>
        <v>24701398</v>
      </c>
      <c r="D15" s="274">
        <f>SUM('zał7-syt finans'!D44)</f>
        <v>23587027</v>
      </c>
      <c r="E15" s="274">
        <f>SUM('zał7-syt finans'!E44)</f>
        <v>26473500</v>
      </c>
      <c r="F15" s="274">
        <f>SUM('zał7-syt finans'!F44)</f>
        <v>27443269</v>
      </c>
      <c r="G15" s="274">
        <f>SUM('zał7-syt finans'!G44)</f>
        <v>23281854</v>
      </c>
      <c r="H15" s="274">
        <f>SUM('zał7-syt finans'!H44)</f>
        <v>16702854</v>
      </c>
      <c r="I15" s="274">
        <f>SUM('zał7-syt finans'!I44)</f>
        <v>10977854</v>
      </c>
      <c r="J15" s="274">
        <f>SUM('zał7-syt finans'!J44)</f>
        <v>5325254</v>
      </c>
      <c r="K15" s="274">
        <f>SUM('zał7-syt finans'!K44)</f>
        <v>550254</v>
      </c>
      <c r="L15" s="274">
        <f>SUM('zał7-syt finans'!L44)</f>
        <v>0</v>
      </c>
      <c r="M15" s="374">
        <f>SUM('zał7-syt finans'!M44)</f>
        <v>0</v>
      </c>
    </row>
    <row r="16" spans="1:13" s="90" customFormat="1" ht="24.75" customHeight="1">
      <c r="A16" s="269" t="s">
        <v>45</v>
      </c>
      <c r="B16" s="21" t="s">
        <v>51</v>
      </c>
      <c r="C16" s="275" t="s">
        <v>99</v>
      </c>
      <c r="D16" s="275" t="s">
        <v>99</v>
      </c>
      <c r="E16" s="275" t="s">
        <v>99</v>
      </c>
      <c r="F16" s="275" t="s">
        <v>99</v>
      </c>
      <c r="G16" s="279" t="s">
        <v>99</v>
      </c>
      <c r="H16" s="275" t="s">
        <v>99</v>
      </c>
      <c r="I16" s="275" t="s">
        <v>99</v>
      </c>
      <c r="J16" s="275" t="s">
        <v>99</v>
      </c>
      <c r="K16" s="275" t="s">
        <v>99</v>
      </c>
      <c r="L16" s="275" t="s">
        <v>99</v>
      </c>
      <c r="M16" s="375" t="s">
        <v>99</v>
      </c>
    </row>
    <row r="17" spans="1:13" s="90" customFormat="1" ht="24.75" customHeight="1">
      <c r="A17" s="270" t="s">
        <v>36</v>
      </c>
      <c r="B17" s="271" t="s">
        <v>52</v>
      </c>
      <c r="C17" s="275" t="s">
        <v>99</v>
      </c>
      <c r="D17" s="275" t="s">
        <v>99</v>
      </c>
      <c r="E17" s="275" t="s">
        <v>99</v>
      </c>
      <c r="F17" s="275" t="s">
        <v>99</v>
      </c>
      <c r="G17" s="279" t="s">
        <v>99</v>
      </c>
      <c r="H17" s="275" t="s">
        <v>99</v>
      </c>
      <c r="I17" s="275" t="s">
        <v>99</v>
      </c>
      <c r="J17" s="275" t="s">
        <v>99</v>
      </c>
      <c r="K17" s="275" t="s">
        <v>99</v>
      </c>
      <c r="L17" s="275" t="s">
        <v>99</v>
      </c>
      <c r="M17" s="375" t="s">
        <v>99</v>
      </c>
    </row>
    <row r="18" spans="1:13" s="90" customFormat="1" ht="42.75" customHeight="1">
      <c r="A18" s="270" t="s">
        <v>49</v>
      </c>
      <c r="B18" s="21" t="s">
        <v>124</v>
      </c>
      <c r="C18" s="275" t="s">
        <v>99</v>
      </c>
      <c r="D18" s="275" t="s">
        <v>99</v>
      </c>
      <c r="E18" s="275" t="s">
        <v>99</v>
      </c>
      <c r="F18" s="275" t="s">
        <v>99</v>
      </c>
      <c r="G18" s="279" t="s">
        <v>99</v>
      </c>
      <c r="H18" s="275" t="s">
        <v>99</v>
      </c>
      <c r="I18" s="275" t="s">
        <v>99</v>
      </c>
      <c r="J18" s="275" t="s">
        <v>99</v>
      </c>
      <c r="K18" s="275" t="s">
        <v>99</v>
      </c>
      <c r="L18" s="281" t="s">
        <v>99</v>
      </c>
      <c r="M18" s="376" t="s">
        <v>99</v>
      </c>
    </row>
    <row r="19" spans="1:13" s="90" customFormat="1" ht="24.75" customHeight="1">
      <c r="A19" s="272"/>
      <c r="B19" s="21" t="s">
        <v>125</v>
      </c>
      <c r="C19" s="275" t="s">
        <v>99</v>
      </c>
      <c r="D19" s="275" t="s">
        <v>99</v>
      </c>
      <c r="E19" s="275" t="s">
        <v>99</v>
      </c>
      <c r="F19" s="275" t="s">
        <v>99</v>
      </c>
      <c r="G19" s="275" t="s">
        <v>99</v>
      </c>
      <c r="H19" s="275" t="s">
        <v>99</v>
      </c>
      <c r="I19" s="275" t="s">
        <v>99</v>
      </c>
      <c r="J19" s="275" t="s">
        <v>99</v>
      </c>
      <c r="K19" s="275" t="s">
        <v>99</v>
      </c>
      <c r="L19" s="275" t="s">
        <v>99</v>
      </c>
      <c r="M19" s="375" t="s">
        <v>99</v>
      </c>
    </row>
    <row r="20" spans="1:13" s="90" customFormat="1" ht="24.75" customHeight="1">
      <c r="A20" s="272"/>
      <c r="B20" s="21" t="s">
        <v>126</v>
      </c>
      <c r="C20" s="275" t="s">
        <v>99</v>
      </c>
      <c r="D20" s="275" t="s">
        <v>99</v>
      </c>
      <c r="E20" s="275" t="s">
        <v>99</v>
      </c>
      <c r="F20" s="275" t="s">
        <v>99</v>
      </c>
      <c r="G20" s="275" t="s">
        <v>99</v>
      </c>
      <c r="H20" s="275" t="s">
        <v>99</v>
      </c>
      <c r="I20" s="275" t="s">
        <v>99</v>
      </c>
      <c r="J20" s="275" t="s">
        <v>99</v>
      </c>
      <c r="K20" s="275" t="s">
        <v>99</v>
      </c>
      <c r="L20" s="275" t="s">
        <v>99</v>
      </c>
      <c r="M20" s="375" t="s">
        <v>99</v>
      </c>
    </row>
    <row r="21" spans="1:13" s="90" customFormat="1" ht="24.75" customHeight="1">
      <c r="A21" s="272"/>
      <c r="B21" s="21" t="s">
        <v>127</v>
      </c>
      <c r="C21" s="275" t="s">
        <v>99</v>
      </c>
      <c r="D21" s="275" t="s">
        <v>99</v>
      </c>
      <c r="E21" s="275" t="s">
        <v>99</v>
      </c>
      <c r="F21" s="275" t="s">
        <v>99</v>
      </c>
      <c r="G21" s="275" t="s">
        <v>99</v>
      </c>
      <c r="H21" s="275" t="s">
        <v>99</v>
      </c>
      <c r="I21" s="275" t="s">
        <v>99</v>
      </c>
      <c r="J21" s="275" t="s">
        <v>99</v>
      </c>
      <c r="K21" s="275" t="s">
        <v>99</v>
      </c>
      <c r="L21" s="281" t="s">
        <v>99</v>
      </c>
      <c r="M21" s="376" t="s">
        <v>99</v>
      </c>
    </row>
    <row r="22" spans="1:13" s="90" customFormat="1" ht="24.75" customHeight="1">
      <c r="A22" s="273"/>
      <c r="B22" s="21" t="s">
        <v>128</v>
      </c>
      <c r="C22" s="275" t="s">
        <v>99</v>
      </c>
      <c r="D22" s="275" t="s">
        <v>99</v>
      </c>
      <c r="E22" s="275" t="s">
        <v>99</v>
      </c>
      <c r="F22" s="275" t="s">
        <v>99</v>
      </c>
      <c r="G22" s="279" t="s">
        <v>99</v>
      </c>
      <c r="H22" s="275" t="s">
        <v>99</v>
      </c>
      <c r="I22" s="275" t="s">
        <v>99</v>
      </c>
      <c r="J22" s="275" t="s">
        <v>99</v>
      </c>
      <c r="K22" s="275" t="s">
        <v>99</v>
      </c>
      <c r="L22" s="275" t="s">
        <v>99</v>
      </c>
      <c r="M22" s="375" t="s">
        <v>99</v>
      </c>
    </row>
    <row r="23" spans="1:13" s="104" customFormat="1" ht="30" customHeight="1">
      <c r="A23" s="273" t="s">
        <v>53</v>
      </c>
      <c r="B23" s="54" t="s">
        <v>129</v>
      </c>
      <c r="C23" s="276">
        <f>SUM(C14,C15)</f>
        <v>24701398</v>
      </c>
      <c r="D23" s="276">
        <f>SUM(D14,D15,D18)</f>
        <v>23587027</v>
      </c>
      <c r="E23" s="276">
        <f aca="true" t="shared" si="0" ref="E23:M23">SUM(E14,E15,E18)</f>
        <v>26473500</v>
      </c>
      <c r="F23" s="276">
        <f t="shared" si="0"/>
        <v>27443269</v>
      </c>
      <c r="G23" s="276">
        <f t="shared" si="0"/>
        <v>23281854</v>
      </c>
      <c r="H23" s="276">
        <f t="shared" si="0"/>
        <v>16702854</v>
      </c>
      <c r="I23" s="276">
        <f t="shared" si="0"/>
        <v>10977854</v>
      </c>
      <c r="J23" s="276">
        <f t="shared" si="0"/>
        <v>5325254</v>
      </c>
      <c r="K23" s="276">
        <f t="shared" si="0"/>
        <v>550254</v>
      </c>
      <c r="L23" s="276">
        <f t="shared" si="0"/>
        <v>0</v>
      </c>
      <c r="M23" s="377">
        <f t="shared" si="0"/>
        <v>0</v>
      </c>
    </row>
    <row r="24" spans="1:13" s="104" customFormat="1" ht="27" customHeight="1">
      <c r="A24" s="273" t="s">
        <v>63</v>
      </c>
      <c r="B24" s="21" t="s">
        <v>64</v>
      </c>
      <c r="C24" s="277">
        <f>SUM('zał7-syt finans'!C11)</f>
        <v>66245029</v>
      </c>
      <c r="D24" s="277">
        <f>SUM('zał7-syt finans'!D11)</f>
        <v>81766246</v>
      </c>
      <c r="E24" s="277">
        <f>SUM('zał7-syt finans'!E11)</f>
        <v>83489437</v>
      </c>
      <c r="F24" s="277">
        <f>SUM('zał7-syt finans'!F11)</f>
        <v>81490131</v>
      </c>
      <c r="G24" s="277">
        <f>SUM('zał7-syt finans'!G11)</f>
        <v>75743751</v>
      </c>
      <c r="H24" s="277">
        <f>SUM('zał7-syt finans'!H11)</f>
        <v>78067819</v>
      </c>
      <c r="I24" s="277">
        <f>SUM('zał7-syt finans'!I11)</f>
        <v>80553485</v>
      </c>
      <c r="J24" s="277">
        <f>SUM('zał7-syt finans'!J11)</f>
        <v>83002535</v>
      </c>
      <c r="K24" s="277">
        <f>SUM('zał7-syt finans'!K11)</f>
        <v>85616807</v>
      </c>
      <c r="L24" s="277">
        <f>SUM('zał7-syt finans'!L11)</f>
        <v>88298194</v>
      </c>
      <c r="M24" s="378">
        <f>SUM('zał7-syt finans'!M11)</f>
        <v>90858840</v>
      </c>
    </row>
    <row r="25" spans="1:13" s="104" customFormat="1" ht="30" customHeight="1">
      <c r="A25" s="273" t="s">
        <v>66</v>
      </c>
      <c r="B25" s="21" t="s">
        <v>130</v>
      </c>
      <c r="C25" s="278">
        <f aca="true" t="shared" si="1" ref="C25:M25">C23/C24*100</f>
        <v>37.28792691750501</v>
      </c>
      <c r="D25" s="278">
        <f t="shared" si="1"/>
        <v>28.846899734151915</v>
      </c>
      <c r="E25" s="278">
        <f t="shared" si="1"/>
        <v>31.70880167751041</v>
      </c>
      <c r="F25" s="278">
        <f t="shared" si="1"/>
        <v>33.676800691362246</v>
      </c>
      <c r="G25" s="280">
        <f t="shared" si="1"/>
        <v>30.737656496573557</v>
      </c>
      <c r="H25" s="278">
        <f t="shared" si="1"/>
        <v>21.395312708812835</v>
      </c>
      <c r="I25" s="278">
        <f t="shared" si="1"/>
        <v>13.628031114979072</v>
      </c>
      <c r="J25" s="278">
        <f t="shared" si="1"/>
        <v>6.415772723086108</v>
      </c>
      <c r="K25" s="278">
        <f t="shared" si="1"/>
        <v>0.6426939047142928</v>
      </c>
      <c r="L25" s="278">
        <f t="shared" si="1"/>
        <v>0</v>
      </c>
      <c r="M25" s="379">
        <f t="shared" si="1"/>
        <v>0</v>
      </c>
    </row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/>
  <dimension ref="A1:Y75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375" style="32" customWidth="1"/>
    <col min="2" max="2" width="40.875" style="32" customWidth="1"/>
    <col min="3" max="3" width="13.25390625" style="32" customWidth="1"/>
    <col min="4" max="6" width="13.125" style="81" customWidth="1"/>
    <col min="7" max="7" width="15.125" style="81" customWidth="1"/>
    <col min="8" max="8" width="13.00390625" style="81" customWidth="1"/>
    <col min="9" max="9" width="14.625" style="81" customWidth="1"/>
    <col min="10" max="12" width="13.125" style="81" customWidth="1"/>
    <col min="13" max="13" width="14.625" style="81" customWidth="1"/>
    <col min="14" max="14" width="13.00390625" style="81" customWidth="1"/>
    <col min="15" max="16384" width="9.125" style="32" customWidth="1"/>
  </cols>
  <sheetData>
    <row r="1" spans="4:25" ht="14.25">
      <c r="D1" s="55"/>
      <c r="E1" s="55"/>
      <c r="F1" s="34" t="s">
        <v>220</v>
      </c>
      <c r="H1" s="55"/>
      <c r="I1" s="55"/>
      <c r="J1" s="34" t="s">
        <v>220</v>
      </c>
      <c r="K1" s="82"/>
      <c r="L1" s="82"/>
      <c r="M1" s="82"/>
      <c r="N1" s="34" t="s">
        <v>220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4:25" ht="14.25">
      <c r="D2" s="56"/>
      <c r="E2" s="56"/>
      <c r="F2" s="33" t="s">
        <v>219</v>
      </c>
      <c r="H2" s="56"/>
      <c r="I2" s="56"/>
      <c r="J2" s="33" t="s">
        <v>219</v>
      </c>
      <c r="K2" s="83"/>
      <c r="L2" s="83"/>
      <c r="M2" s="83"/>
      <c r="N2" s="33" t="s">
        <v>219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4:25" ht="14.25">
      <c r="D3" s="56"/>
      <c r="E3" s="56"/>
      <c r="F3" s="33" t="s">
        <v>315</v>
      </c>
      <c r="H3" s="56"/>
      <c r="I3" s="56"/>
      <c r="J3" s="33" t="s">
        <v>315</v>
      </c>
      <c r="K3" s="83"/>
      <c r="L3" s="83"/>
      <c r="M3" s="83"/>
      <c r="N3" s="33" t="s">
        <v>315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4:12" ht="14.25">
      <c r="D4" s="50"/>
      <c r="E4" s="50"/>
      <c r="F4" s="50"/>
      <c r="H4" s="32"/>
      <c r="I4" s="32"/>
      <c r="J4" s="50"/>
      <c r="K4" s="84"/>
      <c r="L4" s="84"/>
    </row>
    <row r="5" spans="4:10" ht="12.75">
      <c r="D5" s="32"/>
      <c r="E5" s="18"/>
      <c r="F5" s="32"/>
      <c r="H5" s="32"/>
      <c r="I5" s="32"/>
      <c r="J5" s="32"/>
    </row>
    <row r="6" spans="6:14" ht="15" customHeight="1">
      <c r="F6" s="59" t="s">
        <v>16</v>
      </c>
      <c r="H6" s="32"/>
      <c r="I6" s="32"/>
      <c r="J6" s="59" t="s">
        <v>16</v>
      </c>
      <c r="N6" s="59" t="s">
        <v>16</v>
      </c>
    </row>
    <row r="7" spans="1:14" ht="12.75">
      <c r="A7" s="112" t="s">
        <v>95</v>
      </c>
      <c r="B7" s="112" t="s">
        <v>39</v>
      </c>
      <c r="C7" s="590" t="s">
        <v>221</v>
      </c>
      <c r="D7" s="210" t="s">
        <v>17</v>
      </c>
      <c r="E7" s="211"/>
      <c r="F7" s="212"/>
      <c r="G7" s="585" t="s">
        <v>18</v>
      </c>
      <c r="H7" s="586"/>
      <c r="I7" s="586"/>
      <c r="J7" s="587"/>
      <c r="K7" s="585" t="s">
        <v>18</v>
      </c>
      <c r="L7" s="586"/>
      <c r="M7" s="586"/>
      <c r="N7" s="587"/>
    </row>
    <row r="8" spans="1:14" ht="12.75">
      <c r="A8" s="260"/>
      <c r="B8" s="260"/>
      <c r="C8" s="591"/>
      <c r="D8" s="213">
        <v>2009</v>
      </c>
      <c r="E8" s="214">
        <v>2010</v>
      </c>
      <c r="F8" s="214">
        <v>2011</v>
      </c>
      <c r="G8" s="215">
        <v>2012</v>
      </c>
      <c r="H8" s="214">
        <v>2013</v>
      </c>
      <c r="I8" s="214">
        <v>2014</v>
      </c>
      <c r="J8" s="214">
        <v>2015</v>
      </c>
      <c r="K8" s="214">
        <v>2016</v>
      </c>
      <c r="L8" s="214">
        <v>2017</v>
      </c>
      <c r="M8" s="365">
        <v>2018</v>
      </c>
      <c r="N8" s="112"/>
    </row>
    <row r="9" spans="1:14" ht="12.75">
      <c r="A9" s="218"/>
      <c r="B9" s="218"/>
      <c r="C9" s="216">
        <v>2008</v>
      </c>
      <c r="D9" s="217"/>
      <c r="E9" s="218"/>
      <c r="F9" s="218"/>
      <c r="G9" s="219"/>
      <c r="H9" s="218"/>
      <c r="I9" s="218"/>
      <c r="J9" s="218"/>
      <c r="K9" s="218"/>
      <c r="L9" s="218"/>
      <c r="M9" s="366"/>
      <c r="N9" s="216"/>
    </row>
    <row r="10" spans="1:14" ht="12.75">
      <c r="A10" s="123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3</v>
      </c>
      <c r="H10" s="123">
        <v>4</v>
      </c>
      <c r="I10" s="123">
        <v>5</v>
      </c>
      <c r="J10" s="123">
        <v>6</v>
      </c>
      <c r="K10" s="123">
        <v>3</v>
      </c>
      <c r="L10" s="123">
        <v>4</v>
      </c>
      <c r="M10" s="367">
        <v>5</v>
      </c>
      <c r="N10" s="123"/>
    </row>
    <row r="11" spans="1:14" s="224" customFormat="1" ht="16.5">
      <c r="A11" s="220" t="s">
        <v>42</v>
      </c>
      <c r="B11" s="221" t="s">
        <v>164</v>
      </c>
      <c r="C11" s="428">
        <f>SUM(C12,C16:C19)</f>
        <v>66245029</v>
      </c>
      <c r="D11" s="222">
        <f>SUM(D12,D16:D19)</f>
        <v>81766246</v>
      </c>
      <c r="E11" s="222">
        <f aca="true" t="shared" si="0" ref="E11:L11">SUM(E12,E16,E17,E18,E19)</f>
        <v>83489437</v>
      </c>
      <c r="F11" s="222">
        <f t="shared" si="0"/>
        <v>81490131</v>
      </c>
      <c r="G11" s="222">
        <f t="shared" si="0"/>
        <v>75743751</v>
      </c>
      <c r="H11" s="222">
        <f t="shared" si="0"/>
        <v>78067819</v>
      </c>
      <c r="I11" s="222">
        <f t="shared" si="0"/>
        <v>80553485</v>
      </c>
      <c r="J11" s="222">
        <f t="shared" si="0"/>
        <v>83002535</v>
      </c>
      <c r="K11" s="222">
        <f t="shared" si="0"/>
        <v>85616807</v>
      </c>
      <c r="L11" s="222">
        <f t="shared" si="0"/>
        <v>88298194</v>
      </c>
      <c r="M11" s="248">
        <f>SUM(M12,M16,M17,M18,M19)</f>
        <v>90858840</v>
      </c>
      <c r="N11" s="223">
        <f>SUM(N12,N16,N17,N18,N19)</f>
        <v>93584605.2</v>
      </c>
    </row>
    <row r="12" spans="1:14" s="20" customFormat="1" ht="15">
      <c r="A12" s="225" t="s">
        <v>166</v>
      </c>
      <c r="B12" s="226" t="s">
        <v>19</v>
      </c>
      <c r="C12" s="428">
        <f>SUM(C13:C15)</f>
        <v>17093360</v>
      </c>
      <c r="D12" s="222">
        <f>SUM(D13:D15)</f>
        <v>16054351</v>
      </c>
      <c r="E12" s="222">
        <f>SUM(E13:E15)</f>
        <v>16519927</v>
      </c>
      <c r="F12" s="222">
        <f>SUM(F13:F15)</f>
        <v>16999005</v>
      </c>
      <c r="G12" s="222">
        <v>17491977</v>
      </c>
      <c r="H12" s="222">
        <v>17999244</v>
      </c>
      <c r="I12" s="222">
        <v>18521222</v>
      </c>
      <c r="J12" s="222">
        <v>19058337</v>
      </c>
      <c r="K12" s="222">
        <v>19611028</v>
      </c>
      <c r="L12" s="222">
        <v>20179747</v>
      </c>
      <c r="M12" s="248">
        <f>SUM(M13:M15)</f>
        <v>20764959</v>
      </c>
      <c r="N12" s="223">
        <f>SUM(N13:N15)</f>
        <v>21387907.77</v>
      </c>
    </row>
    <row r="13" spans="1:14" s="20" customFormat="1" ht="25.5" customHeight="1">
      <c r="A13" s="57" t="s">
        <v>43</v>
      </c>
      <c r="B13" s="227" t="s">
        <v>20</v>
      </c>
      <c r="C13" s="429">
        <v>10055701</v>
      </c>
      <c r="D13" s="228">
        <v>10107688</v>
      </c>
      <c r="E13" s="228">
        <f aca="true" t="shared" si="1" ref="E13:E18">ROUND(D13*102.9%,0)</f>
        <v>10400811</v>
      </c>
      <c r="F13" s="228">
        <f aca="true" t="shared" si="2" ref="F13:F18">ROUND(E13*102.9%,0)</f>
        <v>10702435</v>
      </c>
      <c r="G13" s="228">
        <v>11012806</v>
      </c>
      <c r="H13" s="228">
        <v>11332177</v>
      </c>
      <c r="I13" s="228">
        <v>11660810</v>
      </c>
      <c r="J13" s="228">
        <v>11998973</v>
      </c>
      <c r="K13" s="228">
        <v>12346943</v>
      </c>
      <c r="L13" s="228">
        <v>12705004</v>
      </c>
      <c r="M13" s="247">
        <f aca="true" t="shared" si="3" ref="M13:M19">ROUND(L13*102.9%,0)</f>
        <v>13073449</v>
      </c>
      <c r="N13" s="229">
        <f aca="true" t="shared" si="4" ref="N13:N19">M13*103%</f>
        <v>13465652.47</v>
      </c>
    </row>
    <row r="14" spans="1:14" s="20" customFormat="1" ht="12.75" customHeight="1">
      <c r="A14" s="57" t="s">
        <v>44</v>
      </c>
      <c r="B14" s="227" t="s">
        <v>21</v>
      </c>
      <c r="C14" s="429">
        <v>419414</v>
      </c>
      <c r="D14" s="228">
        <v>361250</v>
      </c>
      <c r="E14" s="228">
        <f t="shared" si="1"/>
        <v>371726</v>
      </c>
      <c r="F14" s="228">
        <f t="shared" si="2"/>
        <v>382506</v>
      </c>
      <c r="G14" s="228">
        <v>393599</v>
      </c>
      <c r="H14" s="228">
        <v>405013</v>
      </c>
      <c r="I14" s="228">
        <v>416758</v>
      </c>
      <c r="J14" s="228">
        <v>428844</v>
      </c>
      <c r="K14" s="228">
        <v>441280</v>
      </c>
      <c r="L14" s="228">
        <v>454077</v>
      </c>
      <c r="M14" s="247">
        <f t="shared" si="3"/>
        <v>467245</v>
      </c>
      <c r="N14" s="229">
        <f t="shared" si="4"/>
        <v>481262.35000000003</v>
      </c>
    </row>
    <row r="15" spans="1:14" s="20" customFormat="1" ht="12.75" customHeight="1">
      <c r="A15" s="57" t="s">
        <v>45</v>
      </c>
      <c r="B15" s="227" t="s">
        <v>22</v>
      </c>
      <c r="C15" s="429">
        <v>6618245</v>
      </c>
      <c r="D15" s="228">
        <v>5585413</v>
      </c>
      <c r="E15" s="228">
        <f t="shared" si="1"/>
        <v>5747390</v>
      </c>
      <c r="F15" s="228">
        <f t="shared" si="2"/>
        <v>5914064</v>
      </c>
      <c r="G15" s="228">
        <v>6085572</v>
      </c>
      <c r="H15" s="228">
        <v>6262054</v>
      </c>
      <c r="I15" s="228">
        <v>6443654</v>
      </c>
      <c r="J15" s="228">
        <v>6630520</v>
      </c>
      <c r="K15" s="228">
        <v>6822805</v>
      </c>
      <c r="L15" s="228">
        <v>7020666</v>
      </c>
      <c r="M15" s="247">
        <f t="shared" si="3"/>
        <v>7224265</v>
      </c>
      <c r="N15" s="229">
        <f t="shared" si="4"/>
        <v>7440992.95</v>
      </c>
    </row>
    <row r="16" spans="1:14" s="20" customFormat="1" ht="15">
      <c r="A16" s="230" t="s">
        <v>333</v>
      </c>
      <c r="B16" s="231" t="s">
        <v>96</v>
      </c>
      <c r="C16" s="430">
        <v>37788842</v>
      </c>
      <c r="D16" s="232">
        <v>42207684</v>
      </c>
      <c r="E16" s="232">
        <f t="shared" si="1"/>
        <v>43431707</v>
      </c>
      <c r="F16" s="232">
        <f t="shared" si="2"/>
        <v>44691227</v>
      </c>
      <c r="G16" s="232">
        <v>45987273</v>
      </c>
      <c r="H16" s="232">
        <v>47320904</v>
      </c>
      <c r="I16" s="232">
        <v>48693210</v>
      </c>
      <c r="J16" s="232">
        <v>50105313</v>
      </c>
      <c r="K16" s="232">
        <v>51558367</v>
      </c>
      <c r="L16" s="232">
        <v>53053560</v>
      </c>
      <c r="M16" s="368">
        <f t="shared" si="3"/>
        <v>54592113</v>
      </c>
      <c r="N16" s="223">
        <f t="shared" si="4"/>
        <v>56229876.39</v>
      </c>
    </row>
    <row r="17" spans="1:14" s="236" customFormat="1" ht="30" customHeight="1">
      <c r="A17" s="233" t="s">
        <v>337</v>
      </c>
      <c r="B17" s="234" t="s">
        <v>23</v>
      </c>
      <c r="C17" s="431">
        <v>5906113</v>
      </c>
      <c r="D17" s="232">
        <v>5626184</v>
      </c>
      <c r="E17" s="232">
        <f t="shared" si="1"/>
        <v>5789343</v>
      </c>
      <c r="F17" s="232">
        <f t="shared" si="2"/>
        <v>5957234</v>
      </c>
      <c r="G17" s="232">
        <v>6316083</v>
      </c>
      <c r="H17" s="232">
        <v>6499249</v>
      </c>
      <c r="I17" s="232">
        <v>6687727</v>
      </c>
      <c r="J17" s="232">
        <v>6881671</v>
      </c>
      <c r="K17" s="232">
        <v>7081239</v>
      </c>
      <c r="L17" s="232">
        <v>7286595</v>
      </c>
      <c r="M17" s="368">
        <f t="shared" si="3"/>
        <v>7497906</v>
      </c>
      <c r="N17" s="235">
        <f t="shared" si="4"/>
        <v>7722843.180000001</v>
      </c>
    </row>
    <row r="18" spans="1:14" s="236" customFormat="1" ht="15">
      <c r="A18" s="233" t="s">
        <v>338</v>
      </c>
      <c r="B18" s="237" t="s">
        <v>97</v>
      </c>
      <c r="C18" s="432">
        <v>4688760</v>
      </c>
      <c r="D18" s="232">
        <v>3156910</v>
      </c>
      <c r="E18" s="232">
        <f t="shared" si="1"/>
        <v>3248460</v>
      </c>
      <c r="F18" s="232">
        <f t="shared" si="2"/>
        <v>3342665</v>
      </c>
      <c r="G18" s="232">
        <v>3448418</v>
      </c>
      <c r="H18" s="232">
        <v>3548422</v>
      </c>
      <c r="I18" s="232">
        <v>3651326</v>
      </c>
      <c r="J18" s="232">
        <v>3757214</v>
      </c>
      <c r="K18" s="232">
        <v>3866173</v>
      </c>
      <c r="L18" s="232">
        <v>3978292</v>
      </c>
      <c r="M18" s="368">
        <f t="shared" si="3"/>
        <v>4093662</v>
      </c>
      <c r="N18" s="235">
        <f t="shared" si="4"/>
        <v>4216471.86</v>
      </c>
    </row>
    <row r="19" spans="1:14" s="236" customFormat="1" ht="15">
      <c r="A19" s="233" t="s">
        <v>341</v>
      </c>
      <c r="B19" s="237" t="s">
        <v>24</v>
      </c>
      <c r="C19" s="432">
        <v>767954</v>
      </c>
      <c r="D19" s="232">
        <v>14721117</v>
      </c>
      <c r="E19" s="232">
        <v>14500000</v>
      </c>
      <c r="F19" s="232">
        <v>10500000</v>
      </c>
      <c r="G19" s="232">
        <v>2500000</v>
      </c>
      <c r="H19" s="232">
        <v>2700000</v>
      </c>
      <c r="I19" s="232">
        <v>3000000</v>
      </c>
      <c r="J19" s="232">
        <v>3200000</v>
      </c>
      <c r="K19" s="232">
        <v>3500000</v>
      </c>
      <c r="L19" s="232">
        <v>3800000</v>
      </c>
      <c r="M19" s="368">
        <f t="shared" si="3"/>
        <v>3910200</v>
      </c>
      <c r="N19" s="223">
        <f t="shared" si="4"/>
        <v>4027506</v>
      </c>
    </row>
    <row r="20" spans="1:14" s="224" customFormat="1" ht="16.5">
      <c r="A20" s="220" t="s">
        <v>46</v>
      </c>
      <c r="B20" s="221" t="s">
        <v>113</v>
      </c>
      <c r="C20" s="428">
        <f aca="true" t="shared" si="5" ref="C20:K20">C21+C25</f>
        <v>65341530</v>
      </c>
      <c r="D20" s="222">
        <f t="shared" si="5"/>
        <v>85241587</v>
      </c>
      <c r="E20" s="222">
        <f t="shared" si="5"/>
        <v>86375910</v>
      </c>
      <c r="F20" s="222">
        <f t="shared" si="5"/>
        <v>82459900</v>
      </c>
      <c r="G20" s="222">
        <f t="shared" si="5"/>
        <v>71582336</v>
      </c>
      <c r="H20" s="222">
        <f t="shared" si="5"/>
        <v>71278159</v>
      </c>
      <c r="I20" s="222">
        <f t="shared" si="5"/>
        <v>71980941</v>
      </c>
      <c r="J20" s="222">
        <f t="shared" si="5"/>
        <v>72690750</v>
      </c>
      <c r="K20" s="222">
        <f t="shared" si="5"/>
        <v>73407658</v>
      </c>
      <c r="L20" s="222">
        <f>L21+L25</f>
        <v>74131735</v>
      </c>
      <c r="M20" s="248">
        <f>M21+M25</f>
        <v>74863052</v>
      </c>
      <c r="N20" s="223">
        <f>SUM(N21,N25)</f>
        <v>63500000</v>
      </c>
    </row>
    <row r="21" spans="1:14" s="20" customFormat="1" ht="15">
      <c r="A21" s="225" t="s">
        <v>166</v>
      </c>
      <c r="B21" s="226" t="s">
        <v>329</v>
      </c>
      <c r="C21" s="428">
        <v>61334812</v>
      </c>
      <c r="D21" s="232">
        <v>67535930</v>
      </c>
      <c r="E21" s="364">
        <f>ROUND(D21*101%,0)</f>
        <v>68211289</v>
      </c>
      <c r="F21" s="364">
        <f aca="true" t="shared" si="6" ref="F21:M21">ROUND(E21*101%,0)</f>
        <v>68893402</v>
      </c>
      <c r="G21" s="364">
        <f t="shared" si="6"/>
        <v>69582336</v>
      </c>
      <c r="H21" s="364">
        <f t="shared" si="6"/>
        <v>70278159</v>
      </c>
      <c r="I21" s="364">
        <f t="shared" si="6"/>
        <v>70980941</v>
      </c>
      <c r="J21" s="364">
        <f t="shared" si="6"/>
        <v>71690750</v>
      </c>
      <c r="K21" s="364">
        <f t="shared" si="6"/>
        <v>72407658</v>
      </c>
      <c r="L21" s="364">
        <f t="shared" si="6"/>
        <v>73131735</v>
      </c>
      <c r="M21" s="248">
        <f t="shared" si="6"/>
        <v>73863052</v>
      </c>
      <c r="N21" s="223">
        <v>63000000</v>
      </c>
    </row>
    <row r="22" spans="1:14" s="20" customFormat="1" ht="12.75" customHeight="1" hidden="1">
      <c r="A22" s="238" t="s">
        <v>43</v>
      </c>
      <c r="B22" s="227" t="s">
        <v>25</v>
      </c>
      <c r="C22" s="429">
        <v>4147048</v>
      </c>
      <c r="D22" s="228">
        <f aca="true" t="shared" si="7" ref="D22:K22">SUM(D23:D24)</f>
        <v>1344287</v>
      </c>
      <c r="E22" s="228">
        <f t="shared" si="7"/>
        <v>1246085</v>
      </c>
      <c r="F22" s="228">
        <f t="shared" si="7"/>
        <v>1066506</v>
      </c>
      <c r="G22" s="228">
        <f t="shared" si="7"/>
        <v>938349</v>
      </c>
      <c r="H22" s="228">
        <f t="shared" si="7"/>
        <v>701792</v>
      </c>
      <c r="I22" s="228">
        <f t="shared" si="7"/>
        <v>543482</v>
      </c>
      <c r="J22" s="228">
        <f t="shared" si="7"/>
        <v>315700</v>
      </c>
      <c r="K22" s="228">
        <f t="shared" si="7"/>
        <v>161100</v>
      </c>
      <c r="L22" s="228">
        <f>SUM(L23:L24)</f>
        <v>161100</v>
      </c>
      <c r="M22" s="247">
        <f>SUM(M23:M24)</f>
        <v>161100</v>
      </c>
      <c r="N22" s="229">
        <f>SUM(N23:N24)</f>
        <v>0</v>
      </c>
    </row>
    <row r="23" spans="1:14" s="20" customFormat="1" ht="12.75" customHeight="1" hidden="1">
      <c r="A23" s="239"/>
      <c r="B23" s="240" t="s">
        <v>26</v>
      </c>
      <c r="C23" s="429">
        <v>-2427636</v>
      </c>
      <c r="D23" s="228">
        <f>1623000-524713</f>
        <v>1098287</v>
      </c>
      <c r="E23" s="228">
        <v>1082085</v>
      </c>
      <c r="F23" s="228">
        <v>1066506</v>
      </c>
      <c r="G23" s="228">
        <v>938349</v>
      </c>
      <c r="H23" s="228">
        <v>701792</v>
      </c>
      <c r="I23" s="228">
        <v>543482</v>
      </c>
      <c r="J23" s="228">
        <v>315700</v>
      </c>
      <c r="K23" s="228">
        <v>161100</v>
      </c>
      <c r="L23" s="228">
        <v>161100</v>
      </c>
      <c r="M23" s="247">
        <v>161100</v>
      </c>
      <c r="N23" s="229"/>
    </row>
    <row r="24" spans="1:14" s="20" customFormat="1" ht="12.75" customHeight="1" hidden="1">
      <c r="A24" s="239"/>
      <c r="B24" s="240" t="s">
        <v>27</v>
      </c>
      <c r="C24" s="429">
        <v>23429971</v>
      </c>
      <c r="D24" s="228">
        <v>246000</v>
      </c>
      <c r="E24" s="228">
        <v>164000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47">
        <v>0</v>
      </c>
      <c r="N24" s="229">
        <v>0</v>
      </c>
    </row>
    <row r="25" spans="1:14" s="20" customFormat="1" ht="15">
      <c r="A25" s="225" t="s">
        <v>333</v>
      </c>
      <c r="B25" s="226" t="s">
        <v>28</v>
      </c>
      <c r="C25" s="428">
        <v>4006718</v>
      </c>
      <c r="D25" s="222">
        <v>17705657</v>
      </c>
      <c r="E25" s="222">
        <v>18164621</v>
      </c>
      <c r="F25" s="222">
        <v>13566498</v>
      </c>
      <c r="G25" s="222">
        <v>2000000</v>
      </c>
      <c r="H25" s="222">
        <v>1000000</v>
      </c>
      <c r="I25" s="222">
        <v>1000000</v>
      </c>
      <c r="J25" s="222">
        <v>1000000</v>
      </c>
      <c r="K25" s="222">
        <v>1000000</v>
      </c>
      <c r="L25" s="222">
        <v>1000000</v>
      </c>
      <c r="M25" s="248">
        <v>1000000</v>
      </c>
      <c r="N25" s="223">
        <v>500000</v>
      </c>
    </row>
    <row r="26" spans="1:14" s="224" customFormat="1" ht="16.5">
      <c r="A26" s="220" t="s">
        <v>47</v>
      </c>
      <c r="B26" s="221" t="s">
        <v>29</v>
      </c>
      <c r="C26" s="428">
        <f aca="true" t="shared" si="8" ref="C26:K26">C11-C20</f>
        <v>903499</v>
      </c>
      <c r="D26" s="222">
        <f t="shared" si="8"/>
        <v>-3475341</v>
      </c>
      <c r="E26" s="222">
        <f t="shared" si="8"/>
        <v>-2886473</v>
      </c>
      <c r="F26" s="222">
        <f t="shared" si="8"/>
        <v>-969769</v>
      </c>
      <c r="G26" s="222">
        <f t="shared" si="8"/>
        <v>4161415</v>
      </c>
      <c r="H26" s="222">
        <f t="shared" si="8"/>
        <v>6789660</v>
      </c>
      <c r="I26" s="222">
        <f t="shared" si="8"/>
        <v>8572544</v>
      </c>
      <c r="J26" s="222">
        <f t="shared" si="8"/>
        <v>10311785</v>
      </c>
      <c r="K26" s="222">
        <f t="shared" si="8"/>
        <v>12209149</v>
      </c>
      <c r="L26" s="222">
        <f>L11-L20</f>
        <v>14166459</v>
      </c>
      <c r="M26" s="248">
        <f>M11-M20</f>
        <v>15995788</v>
      </c>
      <c r="N26" s="223">
        <f>N11-N20</f>
        <v>30084605.200000003</v>
      </c>
    </row>
    <row r="27" spans="1:14" s="242" customFormat="1" ht="38.25" customHeight="1">
      <c r="A27" s="220" t="s">
        <v>65</v>
      </c>
      <c r="B27" s="241" t="s">
        <v>30</v>
      </c>
      <c r="C27" s="222">
        <v>23429971</v>
      </c>
      <c r="D27" s="222">
        <f aca="true" t="shared" si="9" ref="D27:N27">SUM(C40)</f>
        <v>24701398</v>
      </c>
      <c r="E27" s="222">
        <f t="shared" si="9"/>
        <v>23587027</v>
      </c>
      <c r="F27" s="222">
        <f t="shared" si="9"/>
        <v>26473500</v>
      </c>
      <c r="G27" s="222">
        <f t="shared" si="9"/>
        <v>27443269</v>
      </c>
      <c r="H27" s="222">
        <f t="shared" si="9"/>
        <v>23281854</v>
      </c>
      <c r="I27" s="222">
        <f t="shared" si="9"/>
        <v>16702854</v>
      </c>
      <c r="J27" s="222">
        <f t="shared" si="9"/>
        <v>10977854</v>
      </c>
      <c r="K27" s="222">
        <f t="shared" si="9"/>
        <v>5325254</v>
      </c>
      <c r="L27" s="222">
        <f t="shared" si="9"/>
        <v>550254</v>
      </c>
      <c r="M27" s="248">
        <f t="shared" si="9"/>
        <v>0</v>
      </c>
      <c r="N27" s="223">
        <f t="shared" si="9"/>
        <v>0</v>
      </c>
    </row>
    <row r="28" spans="1:14" s="244" customFormat="1" ht="30" customHeight="1">
      <c r="A28" s="225" t="s">
        <v>83</v>
      </c>
      <c r="B28" s="234" t="s">
        <v>212</v>
      </c>
      <c r="C28" s="243">
        <v>4749027</v>
      </c>
      <c r="D28" s="243">
        <f>'zał2-sfin'!F14</f>
        <v>3053486</v>
      </c>
      <c r="E28" s="243">
        <f>-E26+E32+E35+E38</f>
        <v>8554333</v>
      </c>
      <c r="F28" s="243">
        <f>-F26+F32+F35+F38</f>
        <v>6837629</v>
      </c>
      <c r="G28" s="243">
        <f>-G26+G32+G35+G38</f>
        <v>1644803</v>
      </c>
      <c r="H28" s="243">
        <v>0</v>
      </c>
      <c r="I28" s="243">
        <v>0</v>
      </c>
      <c r="J28" s="243">
        <v>0</v>
      </c>
      <c r="K28" s="243">
        <v>0</v>
      </c>
      <c r="L28" s="243">
        <v>0</v>
      </c>
      <c r="M28" s="369">
        <v>0</v>
      </c>
      <c r="N28" s="223">
        <f>240162+N31+N38</f>
        <v>3551162</v>
      </c>
    </row>
    <row r="29" spans="1:14" s="244" customFormat="1" ht="15" customHeight="1" hidden="1">
      <c r="A29" s="225">
        <v>2</v>
      </c>
      <c r="B29" s="234" t="s">
        <v>31</v>
      </c>
      <c r="C29" s="245">
        <v>0</v>
      </c>
      <c r="D29" s="106" t="s">
        <v>99</v>
      </c>
      <c r="E29" s="106" t="s">
        <v>99</v>
      </c>
      <c r="F29" s="106" t="s">
        <v>99</v>
      </c>
      <c r="G29" s="106" t="s">
        <v>99</v>
      </c>
      <c r="H29" s="106" t="s">
        <v>99</v>
      </c>
      <c r="I29" s="106" t="s">
        <v>99</v>
      </c>
      <c r="J29" s="106" t="s">
        <v>99</v>
      </c>
      <c r="K29" s="106" t="s">
        <v>99</v>
      </c>
      <c r="L29" s="106" t="s">
        <v>99</v>
      </c>
      <c r="M29" s="370" t="s">
        <v>99</v>
      </c>
      <c r="N29" s="246" t="s">
        <v>99</v>
      </c>
    </row>
    <row r="30" spans="1:14" s="244" customFormat="1" ht="15" customHeight="1">
      <c r="A30" s="225" t="s">
        <v>84</v>
      </c>
      <c r="B30" s="237" t="s">
        <v>165</v>
      </c>
      <c r="C30" s="245">
        <f aca="true" t="shared" si="10" ref="C30:M30">SUM(C31,C34,C38,C39)</f>
        <v>5047115</v>
      </c>
      <c r="D30" s="245">
        <f t="shared" si="10"/>
        <v>6167857</v>
      </c>
      <c r="E30" s="245">
        <f t="shared" si="10"/>
        <v>7872860</v>
      </c>
      <c r="F30" s="245">
        <f t="shared" si="10"/>
        <v>7817860</v>
      </c>
      <c r="G30" s="245">
        <f t="shared" si="10"/>
        <v>7286218</v>
      </c>
      <c r="H30" s="245">
        <f t="shared" si="10"/>
        <v>7839000</v>
      </c>
      <c r="I30" s="245">
        <f t="shared" si="10"/>
        <v>6765000</v>
      </c>
      <c r="J30" s="245">
        <f t="shared" si="10"/>
        <v>6422600</v>
      </c>
      <c r="K30" s="245">
        <f t="shared" si="10"/>
        <v>5314940</v>
      </c>
      <c r="L30" s="245">
        <f t="shared" si="10"/>
        <v>775254</v>
      </c>
      <c r="M30" s="370">
        <f t="shared" si="10"/>
        <v>0</v>
      </c>
      <c r="N30" s="246"/>
    </row>
    <row r="31" spans="1:14" s="244" customFormat="1" ht="30">
      <c r="A31" s="225" t="s">
        <v>166</v>
      </c>
      <c r="B31" s="234" t="s">
        <v>332</v>
      </c>
      <c r="C31" s="222">
        <f aca="true" t="shared" si="11" ref="C31:M31">SUM(C32:C33)</f>
        <v>3047115</v>
      </c>
      <c r="D31" s="222">
        <f t="shared" si="11"/>
        <v>5968457</v>
      </c>
      <c r="E31" s="222">
        <f t="shared" si="11"/>
        <v>5917860</v>
      </c>
      <c r="F31" s="222">
        <f t="shared" si="11"/>
        <v>5867860</v>
      </c>
      <c r="G31" s="222">
        <f t="shared" si="11"/>
        <v>5406218</v>
      </c>
      <c r="H31" s="222">
        <f t="shared" si="11"/>
        <v>4979000</v>
      </c>
      <c r="I31" s="222">
        <f t="shared" si="11"/>
        <v>1925000</v>
      </c>
      <c r="J31" s="222">
        <f t="shared" si="11"/>
        <v>1602600</v>
      </c>
      <c r="K31" s="222">
        <f t="shared" si="11"/>
        <v>475000</v>
      </c>
      <c r="L31" s="222">
        <f t="shared" si="11"/>
        <v>0</v>
      </c>
      <c r="M31" s="248">
        <f t="shared" si="11"/>
        <v>0</v>
      </c>
      <c r="N31" s="223">
        <v>2311000</v>
      </c>
    </row>
    <row r="32" spans="1:14" s="244" customFormat="1" ht="15" customHeight="1">
      <c r="A32" s="57" t="s">
        <v>167</v>
      </c>
      <c r="B32" s="227" t="s">
        <v>168</v>
      </c>
      <c r="C32" s="228">
        <v>1477600</v>
      </c>
      <c r="D32" s="228">
        <v>4167857</v>
      </c>
      <c r="E32" s="228">
        <v>4167860</v>
      </c>
      <c r="F32" s="228">
        <v>4367860</v>
      </c>
      <c r="G32" s="228">
        <v>4306218</v>
      </c>
      <c r="H32" s="228">
        <v>4079000</v>
      </c>
      <c r="I32" s="228">
        <v>1225000</v>
      </c>
      <c r="J32" s="228">
        <v>1152600</v>
      </c>
      <c r="K32" s="228">
        <v>275000</v>
      </c>
      <c r="L32" s="228">
        <v>0</v>
      </c>
      <c r="M32" s="247">
        <v>0</v>
      </c>
      <c r="N32" s="262">
        <v>0</v>
      </c>
    </row>
    <row r="33" spans="1:14" s="244" customFormat="1" ht="15" customHeight="1">
      <c r="A33" s="57" t="s">
        <v>44</v>
      </c>
      <c r="B33" s="227" t="s">
        <v>331</v>
      </c>
      <c r="C33" s="228">
        <v>1569515</v>
      </c>
      <c r="D33" s="228">
        <v>1800600</v>
      </c>
      <c r="E33" s="228">
        <v>1750000</v>
      </c>
      <c r="F33" s="228">
        <v>1500000</v>
      </c>
      <c r="G33" s="228">
        <v>1100000</v>
      </c>
      <c r="H33" s="228">
        <v>900000</v>
      </c>
      <c r="I33" s="228">
        <v>700000</v>
      </c>
      <c r="J33" s="228">
        <v>450000</v>
      </c>
      <c r="K33" s="228">
        <v>200000</v>
      </c>
      <c r="L33" s="228">
        <v>0</v>
      </c>
      <c r="M33" s="247">
        <v>0</v>
      </c>
      <c r="N33" s="247">
        <f>ROUND(N43*5%,0)</f>
        <v>12008</v>
      </c>
    </row>
    <row r="34" spans="1:14" s="244" customFormat="1" ht="30">
      <c r="A34" s="225" t="s">
        <v>333</v>
      </c>
      <c r="B34" s="234" t="s">
        <v>334</v>
      </c>
      <c r="C34" s="222">
        <f aca="true" t="shared" si="12" ref="C34:L34">SUM(C35:C37)</f>
        <v>0</v>
      </c>
      <c r="D34" s="222">
        <f t="shared" si="12"/>
        <v>199400</v>
      </c>
      <c r="E34" s="222">
        <f t="shared" si="12"/>
        <v>1955000</v>
      </c>
      <c r="F34" s="222">
        <f t="shared" si="12"/>
        <v>1950000</v>
      </c>
      <c r="G34" s="222">
        <f t="shared" si="12"/>
        <v>1880000</v>
      </c>
      <c r="H34" s="222">
        <f t="shared" si="12"/>
        <v>2860000</v>
      </c>
      <c r="I34" s="222">
        <f t="shared" si="12"/>
        <v>4840000</v>
      </c>
      <c r="J34" s="222">
        <f t="shared" si="12"/>
        <v>4820000</v>
      </c>
      <c r="K34" s="222">
        <f t="shared" si="12"/>
        <v>4839940</v>
      </c>
      <c r="L34" s="222">
        <f t="shared" si="12"/>
        <v>775254</v>
      </c>
      <c r="M34" s="248">
        <f>SUM(M35:M37)</f>
        <v>0</v>
      </c>
      <c r="N34" s="248"/>
    </row>
    <row r="35" spans="1:14" s="244" customFormat="1" ht="15" customHeight="1">
      <c r="A35" s="57" t="s">
        <v>167</v>
      </c>
      <c r="B35" s="227" t="s">
        <v>168</v>
      </c>
      <c r="C35" s="228">
        <v>0</v>
      </c>
      <c r="D35" s="228">
        <v>0</v>
      </c>
      <c r="E35" s="228">
        <v>1500000</v>
      </c>
      <c r="F35" s="228">
        <v>1500000</v>
      </c>
      <c r="G35" s="228">
        <v>1500000</v>
      </c>
      <c r="H35" s="228">
        <v>2500000</v>
      </c>
      <c r="I35" s="228">
        <v>4500000</v>
      </c>
      <c r="J35" s="228">
        <v>4500000</v>
      </c>
      <c r="K35" s="228">
        <v>4500000</v>
      </c>
      <c r="L35" s="228">
        <v>550254</v>
      </c>
      <c r="M35" s="247">
        <v>0</v>
      </c>
      <c r="N35" s="229"/>
    </row>
    <row r="36" spans="1:14" s="244" customFormat="1" ht="51" customHeight="1" hidden="1">
      <c r="A36" s="57" t="s">
        <v>44</v>
      </c>
      <c r="B36" s="227" t="s">
        <v>330</v>
      </c>
      <c r="C36" s="105">
        <v>0</v>
      </c>
      <c r="D36" s="105"/>
      <c r="E36" s="228"/>
      <c r="F36" s="228"/>
      <c r="G36" s="228"/>
      <c r="H36" s="228"/>
      <c r="I36" s="228"/>
      <c r="J36" s="228"/>
      <c r="K36" s="228"/>
      <c r="L36" s="228"/>
      <c r="M36" s="247"/>
      <c r="N36" s="229"/>
    </row>
    <row r="37" spans="1:14" s="244" customFormat="1" ht="15" customHeight="1">
      <c r="A37" s="57" t="s">
        <v>44</v>
      </c>
      <c r="B37" s="227" t="s">
        <v>331</v>
      </c>
      <c r="C37" s="228">
        <v>0</v>
      </c>
      <c r="D37" s="228">
        <v>199400</v>
      </c>
      <c r="E37" s="228">
        <v>455000</v>
      </c>
      <c r="F37" s="228">
        <v>450000</v>
      </c>
      <c r="G37" s="228">
        <v>380000</v>
      </c>
      <c r="H37" s="228">
        <v>360000</v>
      </c>
      <c r="I37" s="228">
        <v>340000</v>
      </c>
      <c r="J37" s="228">
        <v>320000</v>
      </c>
      <c r="K37" s="228">
        <f>250000+89940</f>
        <v>339940</v>
      </c>
      <c r="L37" s="228">
        <v>225000</v>
      </c>
      <c r="M37" s="247">
        <v>0</v>
      </c>
      <c r="N37" s="229"/>
    </row>
    <row r="38" spans="1:14" s="244" customFormat="1" ht="15" customHeight="1">
      <c r="A38" s="225" t="s">
        <v>337</v>
      </c>
      <c r="B38" s="234" t="s">
        <v>336</v>
      </c>
      <c r="C38" s="222">
        <v>2000000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48">
        <v>0</v>
      </c>
      <c r="N38" s="223">
        <v>1000000</v>
      </c>
    </row>
    <row r="39" spans="1:14" s="244" customFormat="1" ht="15" customHeight="1">
      <c r="A39" s="225" t="s">
        <v>338</v>
      </c>
      <c r="B39" s="234" t="s">
        <v>335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48">
        <v>0</v>
      </c>
      <c r="N39" s="261">
        <v>0</v>
      </c>
    </row>
    <row r="40" spans="1:14" s="242" customFormat="1" ht="25.5" customHeight="1">
      <c r="A40" s="220" t="s">
        <v>85</v>
      </c>
      <c r="B40" s="241" t="s">
        <v>33</v>
      </c>
      <c r="C40" s="222">
        <f aca="true" t="shared" si="13" ref="C40:M40">SUM(C27+C28-C32-C35-C38)</f>
        <v>24701398</v>
      </c>
      <c r="D40" s="222">
        <f t="shared" si="13"/>
        <v>23587027</v>
      </c>
      <c r="E40" s="222">
        <f t="shared" si="13"/>
        <v>26473500</v>
      </c>
      <c r="F40" s="222">
        <f t="shared" si="13"/>
        <v>27443269</v>
      </c>
      <c r="G40" s="222">
        <f t="shared" si="13"/>
        <v>23281854</v>
      </c>
      <c r="H40" s="222">
        <f t="shared" si="13"/>
        <v>16702854</v>
      </c>
      <c r="I40" s="222">
        <f t="shared" si="13"/>
        <v>10977854</v>
      </c>
      <c r="J40" s="222">
        <f t="shared" si="13"/>
        <v>5325254</v>
      </c>
      <c r="K40" s="222">
        <f t="shared" si="13"/>
        <v>550254</v>
      </c>
      <c r="L40" s="222">
        <f t="shared" si="13"/>
        <v>0</v>
      </c>
      <c r="M40" s="248">
        <f t="shared" si="13"/>
        <v>0</v>
      </c>
      <c r="N40" s="223">
        <f>SUM(N27,N28,-N31,-N38)</f>
        <v>240162</v>
      </c>
    </row>
    <row r="41" spans="1:14" s="242" customFormat="1" ht="51" customHeight="1">
      <c r="A41" s="588" t="s">
        <v>87</v>
      </c>
      <c r="B41" s="481" t="s">
        <v>34</v>
      </c>
      <c r="C41" s="222">
        <f aca="true" t="shared" si="14" ref="C41:M41">SUM(C32,C35,C39,C38,C33,C37)</f>
        <v>5047115</v>
      </c>
      <c r="D41" s="222">
        <f t="shared" si="14"/>
        <v>6167857</v>
      </c>
      <c r="E41" s="222">
        <f t="shared" si="14"/>
        <v>7872860</v>
      </c>
      <c r="F41" s="222">
        <f t="shared" si="14"/>
        <v>7817860</v>
      </c>
      <c r="G41" s="222">
        <f t="shared" si="14"/>
        <v>7286218</v>
      </c>
      <c r="H41" s="222">
        <f t="shared" si="14"/>
        <v>7839000</v>
      </c>
      <c r="I41" s="222">
        <f t="shared" si="14"/>
        <v>6765000</v>
      </c>
      <c r="J41" s="222">
        <f t="shared" si="14"/>
        <v>6422600</v>
      </c>
      <c r="K41" s="222">
        <f t="shared" si="14"/>
        <v>5314940</v>
      </c>
      <c r="L41" s="222">
        <f t="shared" si="14"/>
        <v>775254</v>
      </c>
      <c r="M41" s="248">
        <f t="shared" si="14"/>
        <v>0</v>
      </c>
      <c r="N41" s="223">
        <f>SUM(N31:N38,N22)</f>
        <v>3323008</v>
      </c>
    </row>
    <row r="42" spans="1:14" s="251" customFormat="1" ht="17.25" customHeight="1">
      <c r="A42" s="589"/>
      <c r="B42" s="482"/>
      <c r="C42" s="249">
        <v>0.0786</v>
      </c>
      <c r="D42" s="249">
        <f aca="true" t="shared" si="15" ref="D42:N42">D41/D11</f>
        <v>0.07543280145208085</v>
      </c>
      <c r="E42" s="249">
        <f t="shared" si="15"/>
        <v>0.09429767744151873</v>
      </c>
      <c r="F42" s="249">
        <f t="shared" si="15"/>
        <v>0.0959362796950222</v>
      </c>
      <c r="G42" s="249">
        <f t="shared" si="15"/>
        <v>0.0961956320330637</v>
      </c>
      <c r="H42" s="249">
        <f t="shared" si="15"/>
        <v>0.10041269373747971</v>
      </c>
      <c r="I42" s="249">
        <f t="shared" si="15"/>
        <v>0.08398146895817109</v>
      </c>
      <c r="J42" s="249">
        <f t="shared" si="15"/>
        <v>0.07737835958865594</v>
      </c>
      <c r="K42" s="249">
        <f t="shared" si="15"/>
        <v>0.06207823190603219</v>
      </c>
      <c r="L42" s="249">
        <f t="shared" si="15"/>
        <v>0.008779953075823951</v>
      </c>
      <c r="M42" s="250">
        <f t="shared" si="15"/>
        <v>0</v>
      </c>
      <c r="N42" s="250">
        <f t="shared" si="15"/>
        <v>0.03550806238802191</v>
      </c>
    </row>
    <row r="43" spans="1:14" s="242" customFormat="1" ht="25.5" customHeight="1">
      <c r="A43" s="220" t="s">
        <v>87</v>
      </c>
      <c r="B43" s="241" t="s">
        <v>339</v>
      </c>
      <c r="C43" s="222">
        <f>SUM(C44:C45)</f>
        <v>24701398</v>
      </c>
      <c r="D43" s="222">
        <f aca="true" t="shared" si="16" ref="D43:K43">SUM(D44:D45)</f>
        <v>23587027</v>
      </c>
      <c r="E43" s="222">
        <f t="shared" si="16"/>
        <v>26473500</v>
      </c>
      <c r="F43" s="222">
        <f t="shared" si="16"/>
        <v>27443269</v>
      </c>
      <c r="G43" s="222">
        <f t="shared" si="16"/>
        <v>23281854</v>
      </c>
      <c r="H43" s="222">
        <f t="shared" si="16"/>
        <v>16702854</v>
      </c>
      <c r="I43" s="222">
        <f t="shared" si="16"/>
        <v>10977854</v>
      </c>
      <c r="J43" s="222">
        <f t="shared" si="16"/>
        <v>5325254</v>
      </c>
      <c r="K43" s="222">
        <f t="shared" si="16"/>
        <v>550254</v>
      </c>
      <c r="L43" s="222">
        <f>SUM(L44:L45)</f>
        <v>0</v>
      </c>
      <c r="M43" s="248">
        <f>SUM(M44:M45)</f>
        <v>0</v>
      </c>
      <c r="N43" s="223">
        <f>SUM(N44:N45)</f>
        <v>240162</v>
      </c>
    </row>
    <row r="44" spans="1:14" s="244" customFormat="1" ht="15" customHeight="1" hidden="1">
      <c r="A44" s="225">
        <v>1</v>
      </c>
      <c r="B44" s="234" t="s">
        <v>35</v>
      </c>
      <c r="C44" s="245">
        <v>24701398</v>
      </c>
      <c r="D44" s="106">
        <f aca="true" t="shared" si="17" ref="D44:M44">C44+D28-D32-D35</f>
        <v>23587027</v>
      </c>
      <c r="E44" s="106">
        <f t="shared" si="17"/>
        <v>26473500</v>
      </c>
      <c r="F44" s="106">
        <f t="shared" si="17"/>
        <v>27443269</v>
      </c>
      <c r="G44" s="106">
        <f t="shared" si="17"/>
        <v>23281854</v>
      </c>
      <c r="H44" s="106">
        <f t="shared" si="17"/>
        <v>16702854</v>
      </c>
      <c r="I44" s="106">
        <f t="shared" si="17"/>
        <v>10977854</v>
      </c>
      <c r="J44" s="106">
        <f t="shared" si="17"/>
        <v>5325254</v>
      </c>
      <c r="K44" s="106">
        <f t="shared" si="17"/>
        <v>550254</v>
      </c>
      <c r="L44" s="106">
        <f t="shared" si="17"/>
        <v>0</v>
      </c>
      <c r="M44" s="370">
        <f t="shared" si="17"/>
        <v>0</v>
      </c>
      <c r="N44" s="223">
        <f>M44+N28-N31</f>
        <v>1240162</v>
      </c>
    </row>
    <row r="45" spans="1:14" s="244" customFormat="1" ht="15" customHeight="1" hidden="1">
      <c r="A45" s="225">
        <v>2</v>
      </c>
      <c r="B45" s="234" t="s">
        <v>31</v>
      </c>
      <c r="C45" s="245">
        <v>0</v>
      </c>
      <c r="D45" s="106">
        <v>0</v>
      </c>
      <c r="E45" s="106">
        <v>0</v>
      </c>
      <c r="F45" s="106">
        <v>0</v>
      </c>
      <c r="G45" s="106">
        <f aca="true" t="shared" si="18" ref="G45:L45">F45-G38</f>
        <v>0</v>
      </c>
      <c r="H45" s="106">
        <f t="shared" si="18"/>
        <v>0</v>
      </c>
      <c r="I45" s="106">
        <f t="shared" si="18"/>
        <v>0</v>
      </c>
      <c r="J45" s="106">
        <f t="shared" si="18"/>
        <v>0</v>
      </c>
      <c r="K45" s="106">
        <f t="shared" si="18"/>
        <v>0</v>
      </c>
      <c r="L45" s="106">
        <f t="shared" si="18"/>
        <v>0</v>
      </c>
      <c r="M45" s="370">
        <f>L45-M38</f>
        <v>0</v>
      </c>
      <c r="N45" s="223">
        <f>M45-N38</f>
        <v>-1000000</v>
      </c>
    </row>
    <row r="46" spans="1:14" s="253" customFormat="1" ht="51">
      <c r="A46" s="252" t="s">
        <v>43</v>
      </c>
      <c r="B46" s="227" t="s">
        <v>340</v>
      </c>
      <c r="C46" s="191">
        <v>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1">
        <v>0</v>
      </c>
      <c r="M46" s="371">
        <v>0</v>
      </c>
      <c r="N46" s="235"/>
    </row>
    <row r="47" spans="1:14" s="256" customFormat="1" ht="21" customHeight="1">
      <c r="A47" s="233" t="s">
        <v>213</v>
      </c>
      <c r="B47" s="241" t="s">
        <v>175</v>
      </c>
      <c r="C47" s="254">
        <f aca="true" t="shared" si="19" ref="C47:N47">C43/C11</f>
        <v>0.3728792691750501</v>
      </c>
      <c r="D47" s="254">
        <f t="shared" si="19"/>
        <v>0.28846899734151915</v>
      </c>
      <c r="E47" s="254">
        <f t="shared" si="19"/>
        <v>0.3170880167751041</v>
      </c>
      <c r="F47" s="254">
        <f t="shared" si="19"/>
        <v>0.33676800691362246</v>
      </c>
      <c r="G47" s="254">
        <f t="shared" si="19"/>
        <v>0.30737656496573557</v>
      </c>
      <c r="H47" s="254">
        <f t="shared" si="19"/>
        <v>0.21395312708812833</v>
      </c>
      <c r="I47" s="254">
        <f t="shared" si="19"/>
        <v>0.13628031114979072</v>
      </c>
      <c r="J47" s="254">
        <f t="shared" si="19"/>
        <v>0.06415772723086108</v>
      </c>
      <c r="K47" s="254">
        <f t="shared" si="19"/>
        <v>0.006426939047142928</v>
      </c>
      <c r="L47" s="254">
        <f t="shared" si="19"/>
        <v>0</v>
      </c>
      <c r="M47" s="255">
        <f t="shared" si="19"/>
        <v>0</v>
      </c>
      <c r="N47" s="255">
        <f t="shared" si="19"/>
        <v>0.0025662554165479345</v>
      </c>
    </row>
    <row r="48" spans="1:14" s="259" customFormat="1" ht="25.5">
      <c r="A48" s="233" t="s">
        <v>214</v>
      </c>
      <c r="B48" s="241" t="s">
        <v>176</v>
      </c>
      <c r="C48" s="257">
        <f aca="true" t="shared" si="20" ref="C48:M48">(C41/C11)</f>
        <v>0.07618858465591433</v>
      </c>
      <c r="D48" s="257">
        <f t="shared" si="20"/>
        <v>0.07543280145208085</v>
      </c>
      <c r="E48" s="257">
        <f t="shared" si="20"/>
        <v>0.09429767744151873</v>
      </c>
      <c r="F48" s="257">
        <f t="shared" si="20"/>
        <v>0.0959362796950222</v>
      </c>
      <c r="G48" s="257">
        <f t="shared" si="20"/>
        <v>0.0961956320330637</v>
      </c>
      <c r="H48" s="257">
        <f t="shared" si="20"/>
        <v>0.10041269373747971</v>
      </c>
      <c r="I48" s="257">
        <f t="shared" si="20"/>
        <v>0.08398146895817109</v>
      </c>
      <c r="J48" s="257">
        <f t="shared" si="20"/>
        <v>0.07737835958865594</v>
      </c>
      <c r="K48" s="257">
        <f t="shared" si="20"/>
        <v>0.06207823190603219</v>
      </c>
      <c r="L48" s="257">
        <f t="shared" si="20"/>
        <v>0.008779953075823951</v>
      </c>
      <c r="M48" s="258">
        <f t="shared" si="20"/>
        <v>0</v>
      </c>
      <c r="N48" s="258"/>
    </row>
    <row r="49" spans="1:14" s="41" customFormat="1" ht="17.25" customHeight="1">
      <c r="A49" s="233" t="s">
        <v>215</v>
      </c>
      <c r="B49" s="241" t="s">
        <v>177</v>
      </c>
      <c r="C49" s="257">
        <f aca="true" t="shared" si="21" ref="C49:M49">C43/C11</f>
        <v>0.3728792691750501</v>
      </c>
      <c r="D49" s="257">
        <f t="shared" si="21"/>
        <v>0.28846899734151915</v>
      </c>
      <c r="E49" s="257">
        <f t="shared" si="21"/>
        <v>0.3170880167751041</v>
      </c>
      <c r="F49" s="257">
        <f t="shared" si="21"/>
        <v>0.33676800691362246</v>
      </c>
      <c r="G49" s="257">
        <f t="shared" si="21"/>
        <v>0.30737656496573557</v>
      </c>
      <c r="H49" s="257">
        <f t="shared" si="21"/>
        <v>0.21395312708812833</v>
      </c>
      <c r="I49" s="257">
        <f t="shared" si="21"/>
        <v>0.13628031114979072</v>
      </c>
      <c r="J49" s="257">
        <f t="shared" si="21"/>
        <v>0.06415772723086108</v>
      </c>
      <c r="K49" s="257">
        <f t="shared" si="21"/>
        <v>0.006426939047142928</v>
      </c>
      <c r="L49" s="257">
        <f t="shared" si="21"/>
        <v>0</v>
      </c>
      <c r="M49" s="258">
        <f t="shared" si="21"/>
        <v>0</v>
      </c>
      <c r="N49" s="258"/>
    </row>
    <row r="50" spans="1:14" s="41" customFormat="1" ht="24.75" customHeight="1">
      <c r="A50" s="233" t="s">
        <v>216</v>
      </c>
      <c r="B50" s="241" t="s">
        <v>178</v>
      </c>
      <c r="C50" s="257">
        <f aca="true" t="shared" si="22" ref="C50:M50">C41/C11</f>
        <v>0.07618858465591433</v>
      </c>
      <c r="D50" s="257">
        <f t="shared" si="22"/>
        <v>0.07543280145208085</v>
      </c>
      <c r="E50" s="257">
        <f t="shared" si="22"/>
        <v>0.09429767744151873</v>
      </c>
      <c r="F50" s="257">
        <f t="shared" si="22"/>
        <v>0.0959362796950222</v>
      </c>
      <c r="G50" s="257">
        <f t="shared" si="22"/>
        <v>0.0961956320330637</v>
      </c>
      <c r="H50" s="257">
        <f t="shared" si="22"/>
        <v>0.10041269373747971</v>
      </c>
      <c r="I50" s="257">
        <f t="shared" si="22"/>
        <v>0.08398146895817109</v>
      </c>
      <c r="J50" s="257">
        <f t="shared" si="22"/>
        <v>0.07737835958865594</v>
      </c>
      <c r="K50" s="257">
        <f t="shared" si="22"/>
        <v>0.06207823190603219</v>
      </c>
      <c r="L50" s="257">
        <f t="shared" si="22"/>
        <v>0.008779953075823951</v>
      </c>
      <c r="M50" s="258">
        <f t="shared" si="22"/>
        <v>0</v>
      </c>
      <c r="N50" s="258"/>
    </row>
    <row r="51" spans="1:13" ht="12.75">
      <c r="A51" s="36"/>
      <c r="D51" s="32"/>
      <c r="E51" s="32"/>
      <c r="F51" s="58"/>
      <c r="G51" s="36"/>
      <c r="H51" s="32"/>
      <c r="I51" s="32"/>
      <c r="J51" s="32"/>
      <c r="K51" s="32"/>
      <c r="L51" s="58"/>
      <c r="M51" s="36"/>
    </row>
    <row r="52" spans="1:14" ht="12.75" hidden="1">
      <c r="A52" s="36"/>
      <c r="D52" s="32"/>
      <c r="E52" s="32">
        <f>E40*5%</f>
        <v>1323675</v>
      </c>
      <c r="F52" s="32">
        <f aca="true" t="shared" si="23" ref="F52:N52">F40*5%</f>
        <v>1372163.4500000002</v>
      </c>
      <c r="G52" s="32">
        <f t="shared" si="23"/>
        <v>1164092.7</v>
      </c>
      <c r="H52" s="32">
        <f t="shared" si="23"/>
        <v>835142.7000000001</v>
      </c>
      <c r="I52" s="32">
        <f t="shared" si="23"/>
        <v>548892.7000000001</v>
      </c>
      <c r="J52" s="32">
        <f t="shared" si="23"/>
        <v>266262.7</v>
      </c>
      <c r="K52" s="32">
        <f t="shared" si="23"/>
        <v>27512.7</v>
      </c>
      <c r="L52" s="32">
        <f t="shared" si="23"/>
        <v>0</v>
      </c>
      <c r="M52" s="32">
        <f t="shared" si="23"/>
        <v>0</v>
      </c>
      <c r="N52" s="81">
        <f t="shared" si="23"/>
        <v>12008.1</v>
      </c>
    </row>
    <row r="53" spans="1:13" ht="12.75">
      <c r="A53" s="36"/>
      <c r="D53" s="32"/>
      <c r="E53" s="32"/>
      <c r="F53" s="58"/>
      <c r="G53" s="36"/>
      <c r="H53" s="32"/>
      <c r="I53" s="32"/>
      <c r="J53" s="32"/>
      <c r="K53" s="32"/>
      <c r="L53" s="58"/>
      <c r="M53" s="36"/>
    </row>
    <row r="54" spans="1:13" ht="12.75">
      <c r="A54" s="36"/>
      <c r="D54" s="32"/>
      <c r="E54" s="32"/>
      <c r="F54" s="58"/>
      <c r="G54" s="36"/>
      <c r="H54" s="32"/>
      <c r="I54" s="32"/>
      <c r="J54" s="32"/>
      <c r="K54" s="32"/>
      <c r="L54" s="58"/>
      <c r="M54" s="36"/>
    </row>
    <row r="55" spans="1:13" ht="12.75">
      <c r="A55" s="36"/>
      <c r="D55" s="32"/>
      <c r="E55" s="32"/>
      <c r="F55" s="58"/>
      <c r="G55" s="36"/>
      <c r="H55" s="32"/>
      <c r="I55" s="32"/>
      <c r="J55" s="32"/>
      <c r="K55" s="32"/>
      <c r="L55" s="58"/>
      <c r="M55" s="36"/>
    </row>
    <row r="56" spans="4:13" ht="12.75">
      <c r="D56" s="32"/>
      <c r="E56" s="32"/>
      <c r="F56" s="58"/>
      <c r="G56" s="32"/>
      <c r="H56" s="32"/>
      <c r="I56" s="32"/>
      <c r="J56" s="32"/>
      <c r="K56" s="32"/>
      <c r="L56" s="58"/>
      <c r="M56" s="32"/>
    </row>
    <row r="57" spans="4:13" ht="12.75">
      <c r="D57" s="32"/>
      <c r="E57" s="32"/>
      <c r="F57" s="58"/>
      <c r="G57" s="32"/>
      <c r="H57" s="32"/>
      <c r="I57" s="32"/>
      <c r="J57" s="32"/>
      <c r="K57" s="32"/>
      <c r="L57" s="58"/>
      <c r="M57" s="32"/>
    </row>
    <row r="58" spans="4:13" ht="12.75">
      <c r="D58" s="32"/>
      <c r="E58" s="32"/>
      <c r="F58" s="58"/>
      <c r="G58" s="32"/>
      <c r="H58" s="32"/>
      <c r="I58" s="32"/>
      <c r="J58" s="32"/>
      <c r="K58" s="32"/>
      <c r="L58" s="58"/>
      <c r="M58" s="32"/>
    </row>
    <row r="59" spans="4:13" ht="12.75">
      <c r="D59" s="32"/>
      <c r="E59" s="32"/>
      <c r="F59" s="58"/>
      <c r="G59" s="32"/>
      <c r="H59" s="32"/>
      <c r="I59" s="32"/>
      <c r="J59" s="32"/>
      <c r="K59" s="32"/>
      <c r="L59" s="58"/>
      <c r="M59" s="32"/>
    </row>
    <row r="60" spans="4:13" ht="12.75">
      <c r="D60" s="32"/>
      <c r="E60" s="32"/>
      <c r="F60" s="58"/>
      <c r="G60" s="32"/>
      <c r="H60" s="32"/>
      <c r="I60" s="32"/>
      <c r="J60" s="32"/>
      <c r="K60" s="32"/>
      <c r="L60" s="58"/>
      <c r="M60" s="32"/>
    </row>
    <row r="61" spans="4:13" ht="12.75"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4:13" ht="12.75"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4:13" ht="12.75"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4:13" ht="12.75"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4:13" ht="12.75"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4:13" ht="12.75"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4:13" ht="12.75"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4:13" ht="12.75"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4:13" ht="12.75"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4:13" ht="12.75"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4:13" ht="12.75"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4:13" ht="12.75"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4:13" ht="12.75"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4:13" ht="12.75"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4:13" ht="12.75">
      <c r="D75" s="32"/>
      <c r="E75" s="32"/>
      <c r="F75" s="32"/>
      <c r="G75" s="32"/>
      <c r="H75" s="32"/>
      <c r="I75" s="32"/>
      <c r="J75" s="32"/>
      <c r="K75" s="32"/>
      <c r="L75" s="32"/>
      <c r="M75" s="32"/>
    </row>
  </sheetData>
  <mergeCells count="5">
    <mergeCell ref="G7:J7"/>
    <mergeCell ref="K7:N7"/>
    <mergeCell ref="A41:A42"/>
    <mergeCell ref="B41:B42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2009-02-27T06:20:32Z</cp:lastPrinted>
  <dcterms:created xsi:type="dcterms:W3CDTF">1998-12-09T13:02:10Z</dcterms:created>
  <dcterms:modified xsi:type="dcterms:W3CDTF">2009-02-27T06:34:48Z</dcterms:modified>
  <cp:category/>
  <cp:version/>
  <cp:contentType/>
  <cp:contentStatus/>
</cp:coreProperties>
</file>